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CorporateServices\Website\Accessibility Monitoring\Accessible Docs\Financial Information\over 20k\"/>
    </mc:Choice>
  </mc:AlternateContent>
  <xr:revisionPtr revIDLastSave="0" documentId="13_ncr:1_{202F5555-B932-4742-8A14-D1FBDC942C1E}" xr6:coauthVersionLast="47" xr6:coauthVersionMax="47" xr10:uidLastSave="{00000000-0000-0000-0000-000000000000}"/>
  <bookViews>
    <workbookView xWindow="28680" yWindow="-120" windowWidth="29040" windowHeight="15840" xr2:uid="{823C459D-F4BA-42F9-B6FF-1EECDFABB995}"/>
  </bookViews>
  <sheets>
    <sheet name="Accounts Payable" sheetId="1" r:id="rId1"/>
    <sheet name="TOTAL INVOICES" sheetId="3" state="hidden" r:id="rId2"/>
    <sheet name="QAA_Sample_Data_WorkSheet" sheetId="2" state="veryHidden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2" l="1"/>
  <c r="D7" i="2"/>
  <c r="E7" i="2"/>
  <c r="C713" i="3"/>
  <c r="C717" i="3"/>
  <c r="C721" i="3"/>
  <c r="C725" i="3"/>
  <c r="C729" i="3"/>
  <c r="C733" i="3"/>
  <c r="C737" i="3"/>
  <c r="C741" i="3"/>
  <c r="C745" i="3"/>
  <c r="C749" i="3"/>
  <c r="C753" i="3"/>
  <c r="C757" i="3"/>
  <c r="C612" i="3"/>
  <c r="C616" i="3"/>
  <c r="C620" i="3"/>
  <c r="C624" i="3"/>
  <c r="C628" i="3"/>
  <c r="C632" i="3"/>
  <c r="C636" i="3"/>
  <c r="C640" i="3"/>
  <c r="C644" i="3"/>
  <c r="C648" i="3"/>
  <c r="C652" i="3"/>
  <c r="C656" i="3"/>
  <c r="C660" i="3"/>
  <c r="C664" i="3"/>
  <c r="C668" i="3"/>
  <c r="C672" i="3"/>
  <c r="C676" i="3"/>
  <c r="C680" i="3"/>
  <c r="C684" i="3"/>
  <c r="C688" i="3"/>
  <c r="C692" i="3"/>
  <c r="C696" i="3"/>
  <c r="C700" i="3"/>
  <c r="C704" i="3"/>
  <c r="C708" i="3"/>
  <c r="C512" i="3"/>
  <c r="C516" i="3"/>
  <c r="C520" i="3"/>
  <c r="C524" i="3"/>
  <c r="C528" i="3"/>
  <c r="C532" i="3"/>
  <c r="C536" i="3"/>
  <c r="C540" i="3"/>
  <c r="C544" i="3"/>
  <c r="C548" i="3"/>
  <c r="C552" i="3"/>
  <c r="C556" i="3"/>
  <c r="C560" i="3"/>
  <c r="C564" i="3"/>
  <c r="C568" i="3"/>
  <c r="C572" i="3"/>
  <c r="C576" i="3"/>
  <c r="C580" i="3"/>
  <c r="C584" i="3"/>
  <c r="C588" i="3"/>
  <c r="C592" i="3"/>
  <c r="C596" i="3"/>
  <c r="C600" i="3"/>
  <c r="C604" i="3"/>
  <c r="C608" i="3"/>
  <c r="C412" i="3"/>
  <c r="C714" i="3"/>
  <c r="C718" i="3"/>
  <c r="C722" i="3"/>
  <c r="C726" i="3"/>
  <c r="C730" i="3"/>
  <c r="C734" i="3"/>
  <c r="C738" i="3"/>
  <c r="C742" i="3"/>
  <c r="C746" i="3"/>
  <c r="C750" i="3"/>
  <c r="C754" i="3"/>
  <c r="C758" i="3"/>
  <c r="C611" i="3"/>
  <c r="C615" i="3"/>
  <c r="C619" i="3"/>
  <c r="C623" i="3"/>
  <c r="C627" i="3"/>
  <c r="C631" i="3"/>
  <c r="C635" i="3"/>
  <c r="C639" i="3"/>
  <c r="C643" i="3"/>
  <c r="C647" i="3"/>
  <c r="C651" i="3"/>
  <c r="C655" i="3"/>
  <c r="C659" i="3"/>
  <c r="C663" i="3"/>
  <c r="C667" i="3"/>
  <c r="C671" i="3"/>
  <c r="C675" i="3"/>
  <c r="C679" i="3"/>
  <c r="C683" i="3"/>
  <c r="C687" i="3"/>
  <c r="C691" i="3"/>
  <c r="C695" i="3"/>
  <c r="C699" i="3"/>
  <c r="C703" i="3"/>
  <c r="C707" i="3"/>
  <c r="C511" i="3"/>
  <c r="C515" i="3"/>
  <c r="C519" i="3"/>
  <c r="C523" i="3"/>
  <c r="C527" i="3"/>
  <c r="C531" i="3"/>
  <c r="C535" i="3"/>
  <c r="C539" i="3"/>
  <c r="C543" i="3"/>
  <c r="C547" i="3"/>
  <c r="C551" i="3"/>
  <c r="C555" i="3"/>
  <c r="C559" i="3"/>
  <c r="C563" i="3"/>
  <c r="C567" i="3"/>
  <c r="C571" i="3"/>
  <c r="C575" i="3"/>
  <c r="C579" i="3"/>
  <c r="C711" i="3"/>
  <c r="C715" i="3"/>
  <c r="C719" i="3"/>
  <c r="C723" i="3"/>
  <c r="C727" i="3"/>
  <c r="C731" i="3"/>
  <c r="C735" i="3"/>
  <c r="C739" i="3"/>
  <c r="C743" i="3"/>
  <c r="C747" i="3"/>
  <c r="C751" i="3"/>
  <c r="C755" i="3"/>
  <c r="C759" i="3"/>
  <c r="C614" i="3"/>
  <c r="C618" i="3"/>
  <c r="C622" i="3"/>
  <c r="C626" i="3"/>
  <c r="C630" i="3"/>
  <c r="C634" i="3"/>
  <c r="C638" i="3"/>
  <c r="C642" i="3"/>
  <c r="C646" i="3"/>
  <c r="C650" i="3"/>
  <c r="C654" i="3"/>
  <c r="C658" i="3"/>
  <c r="C662" i="3"/>
  <c r="C666" i="3"/>
  <c r="C670" i="3"/>
  <c r="C674" i="3"/>
  <c r="C678" i="3"/>
  <c r="C682" i="3"/>
  <c r="C686" i="3"/>
  <c r="C690" i="3"/>
  <c r="C694" i="3"/>
  <c r="C698" i="3"/>
  <c r="C702" i="3"/>
  <c r="C706" i="3"/>
  <c r="C710" i="3"/>
  <c r="C514" i="3"/>
  <c r="C518" i="3"/>
  <c r="C522" i="3"/>
  <c r="C526" i="3"/>
  <c r="C530" i="3"/>
  <c r="C534" i="3"/>
  <c r="C538" i="3"/>
  <c r="C542" i="3"/>
  <c r="C546" i="3"/>
  <c r="C550" i="3"/>
  <c r="C554" i="3"/>
  <c r="C558" i="3"/>
  <c r="C562" i="3"/>
  <c r="C566" i="3"/>
  <c r="C570" i="3"/>
  <c r="C574" i="3"/>
  <c r="C578" i="3"/>
  <c r="C582" i="3"/>
  <c r="C586" i="3"/>
  <c r="C590" i="3"/>
  <c r="C594" i="3"/>
  <c r="C598" i="3"/>
  <c r="C602" i="3"/>
  <c r="C606" i="3"/>
  <c r="C610" i="3"/>
  <c r="C712" i="3"/>
  <c r="C716" i="3"/>
  <c r="C720" i="3"/>
  <c r="C724" i="3"/>
  <c r="C728" i="3"/>
  <c r="C732" i="3"/>
  <c r="C736" i="3"/>
  <c r="C740" i="3"/>
  <c r="C744" i="3"/>
  <c r="C748" i="3"/>
  <c r="C752" i="3"/>
  <c r="C756" i="3"/>
  <c r="C760" i="3"/>
  <c r="C613" i="3"/>
  <c r="C617" i="3"/>
  <c r="C621" i="3"/>
  <c r="C625" i="3"/>
  <c r="C629" i="3"/>
  <c r="C633" i="3"/>
  <c r="C637" i="3"/>
  <c r="C641" i="3"/>
  <c r="C645" i="3"/>
  <c r="C649" i="3"/>
  <c r="C653" i="3"/>
  <c r="C657" i="3"/>
  <c r="C661" i="3"/>
  <c r="C665" i="3"/>
  <c r="C669" i="3"/>
  <c r="C673" i="3"/>
  <c r="C677" i="3"/>
  <c r="C681" i="3"/>
  <c r="C685" i="3"/>
  <c r="C689" i="3"/>
  <c r="C693" i="3"/>
  <c r="C697" i="3"/>
  <c r="C701" i="3"/>
  <c r="C705" i="3"/>
  <c r="C709" i="3"/>
  <c r="C513" i="3"/>
  <c r="C517" i="3"/>
  <c r="C521" i="3"/>
  <c r="C525" i="3"/>
  <c r="C529" i="3"/>
  <c r="C533" i="3"/>
  <c r="C537" i="3"/>
  <c r="C541" i="3"/>
  <c r="C545" i="3"/>
  <c r="C549" i="3"/>
  <c r="C553" i="3"/>
  <c r="C557" i="3"/>
  <c r="C561" i="3"/>
  <c r="C565" i="3"/>
  <c r="C569" i="3"/>
  <c r="C573" i="3"/>
  <c r="C577" i="3"/>
  <c r="C581" i="3"/>
  <c r="C583" i="3"/>
  <c r="C587" i="3"/>
  <c r="C591" i="3"/>
  <c r="C595" i="3"/>
  <c r="C599" i="3"/>
  <c r="C603" i="3"/>
  <c r="C607" i="3"/>
  <c r="C411" i="3"/>
  <c r="C414" i="3"/>
  <c r="C418" i="3"/>
  <c r="C422" i="3"/>
  <c r="C426" i="3"/>
  <c r="C430" i="3"/>
  <c r="C434" i="3"/>
  <c r="C438" i="3"/>
  <c r="C442" i="3"/>
  <c r="C446" i="3"/>
  <c r="C450" i="3"/>
  <c r="C454" i="3"/>
  <c r="C458" i="3"/>
  <c r="C462" i="3"/>
  <c r="C466" i="3"/>
  <c r="C470" i="3"/>
  <c r="C474" i="3"/>
  <c r="C478" i="3"/>
  <c r="C482" i="3"/>
  <c r="C486" i="3"/>
  <c r="C490" i="3"/>
  <c r="C494" i="3"/>
  <c r="C498" i="3"/>
  <c r="C502" i="3"/>
  <c r="C506" i="3"/>
  <c r="C510" i="3"/>
  <c r="C314" i="3"/>
  <c r="C318" i="3"/>
  <c r="C322" i="3"/>
  <c r="C326" i="3"/>
  <c r="C330" i="3"/>
  <c r="C334" i="3"/>
  <c r="C338" i="3"/>
  <c r="C342" i="3"/>
  <c r="C346" i="3"/>
  <c r="C350" i="3"/>
  <c r="C354" i="3"/>
  <c r="C358" i="3"/>
  <c r="C362" i="3"/>
  <c r="C366" i="3"/>
  <c r="C370" i="3"/>
  <c r="C374" i="3"/>
  <c r="C378" i="3"/>
  <c r="C382" i="3"/>
  <c r="C386" i="3"/>
  <c r="C390" i="3"/>
  <c r="C394" i="3"/>
  <c r="C398" i="3"/>
  <c r="C402" i="3"/>
  <c r="C406" i="3"/>
  <c r="C410" i="3"/>
  <c r="C214" i="3"/>
  <c r="C218" i="3"/>
  <c r="C222" i="3"/>
  <c r="C226" i="3"/>
  <c r="C230" i="3"/>
  <c r="C234" i="3"/>
  <c r="C238" i="3"/>
  <c r="C242" i="3"/>
  <c r="C246" i="3"/>
  <c r="C250" i="3"/>
  <c r="C254" i="3"/>
  <c r="C258" i="3"/>
  <c r="C262" i="3"/>
  <c r="C415" i="3"/>
  <c r="C419" i="3"/>
  <c r="C423" i="3"/>
  <c r="C427" i="3"/>
  <c r="C431" i="3"/>
  <c r="C435" i="3"/>
  <c r="C439" i="3"/>
  <c r="C443" i="3"/>
  <c r="C447" i="3"/>
  <c r="C451" i="3"/>
  <c r="C455" i="3"/>
  <c r="C459" i="3"/>
  <c r="C463" i="3"/>
  <c r="C467" i="3"/>
  <c r="C471" i="3"/>
  <c r="C475" i="3"/>
  <c r="C479" i="3"/>
  <c r="C483" i="3"/>
  <c r="C487" i="3"/>
  <c r="C491" i="3"/>
  <c r="C495" i="3"/>
  <c r="C499" i="3"/>
  <c r="C503" i="3"/>
  <c r="C507" i="3"/>
  <c r="C311" i="3"/>
  <c r="C315" i="3"/>
  <c r="C319" i="3"/>
  <c r="C323" i="3"/>
  <c r="C327" i="3"/>
  <c r="C331" i="3"/>
  <c r="C335" i="3"/>
  <c r="C339" i="3"/>
  <c r="C343" i="3"/>
  <c r="C347" i="3"/>
  <c r="C351" i="3"/>
  <c r="C355" i="3"/>
  <c r="C359" i="3"/>
  <c r="C363" i="3"/>
  <c r="C367" i="3"/>
  <c r="C371" i="3"/>
  <c r="C375" i="3"/>
  <c r="C379" i="3"/>
  <c r="C383" i="3"/>
  <c r="C387" i="3"/>
  <c r="C391" i="3"/>
  <c r="C395" i="3"/>
  <c r="C399" i="3"/>
  <c r="C403" i="3"/>
  <c r="C407" i="3"/>
  <c r="C211" i="3"/>
  <c r="C215" i="3"/>
  <c r="C219" i="3"/>
  <c r="C223" i="3"/>
  <c r="C227" i="3"/>
  <c r="C231" i="3"/>
  <c r="C235" i="3"/>
  <c r="C585" i="3"/>
  <c r="C589" i="3"/>
  <c r="C593" i="3"/>
  <c r="C597" i="3"/>
  <c r="C601" i="3"/>
  <c r="C605" i="3"/>
  <c r="C609" i="3"/>
  <c r="C413" i="3"/>
  <c r="C416" i="3"/>
  <c r="C420" i="3"/>
  <c r="C424" i="3"/>
  <c r="C428" i="3"/>
  <c r="C432" i="3"/>
  <c r="C436" i="3"/>
  <c r="C440" i="3"/>
  <c r="C444" i="3"/>
  <c r="C448" i="3"/>
  <c r="C452" i="3"/>
  <c r="C456" i="3"/>
  <c r="C460" i="3"/>
  <c r="C464" i="3"/>
  <c r="C468" i="3"/>
  <c r="C472" i="3"/>
  <c r="C476" i="3"/>
  <c r="C480" i="3"/>
  <c r="C484" i="3"/>
  <c r="C488" i="3"/>
  <c r="C492" i="3"/>
  <c r="C496" i="3"/>
  <c r="C500" i="3"/>
  <c r="C504" i="3"/>
  <c r="C508" i="3"/>
  <c r="C312" i="3"/>
  <c r="C316" i="3"/>
  <c r="C320" i="3"/>
  <c r="C324" i="3"/>
  <c r="C328" i="3"/>
  <c r="C332" i="3"/>
  <c r="C336" i="3"/>
  <c r="C340" i="3"/>
  <c r="C344" i="3"/>
  <c r="C348" i="3"/>
  <c r="C352" i="3"/>
  <c r="C356" i="3"/>
  <c r="C360" i="3"/>
  <c r="C364" i="3"/>
  <c r="C368" i="3"/>
  <c r="C372" i="3"/>
  <c r="C376" i="3"/>
  <c r="C380" i="3"/>
  <c r="C384" i="3"/>
  <c r="C388" i="3"/>
  <c r="C392" i="3"/>
  <c r="C396" i="3"/>
  <c r="C400" i="3"/>
  <c r="C404" i="3"/>
  <c r="C408" i="3"/>
  <c r="C212" i="3"/>
  <c r="C216" i="3"/>
  <c r="C220" i="3"/>
  <c r="C224" i="3"/>
  <c r="C228" i="3"/>
  <c r="C232" i="3"/>
  <c r="C236" i="3"/>
  <c r="C240" i="3"/>
  <c r="C244" i="3"/>
  <c r="C248" i="3"/>
  <c r="C252" i="3"/>
  <c r="C256" i="3"/>
  <c r="C260" i="3"/>
  <c r="C264" i="3"/>
  <c r="C417" i="3"/>
  <c r="C421" i="3"/>
  <c r="C425" i="3"/>
  <c r="C429" i="3"/>
  <c r="C433" i="3"/>
  <c r="C437" i="3"/>
  <c r="C441" i="3"/>
  <c r="C445" i="3"/>
  <c r="C449" i="3"/>
  <c r="C453" i="3"/>
  <c r="C457" i="3"/>
  <c r="C461" i="3"/>
  <c r="C465" i="3"/>
  <c r="C469" i="3"/>
  <c r="C473" i="3"/>
  <c r="C477" i="3"/>
  <c r="C481" i="3"/>
  <c r="C485" i="3"/>
  <c r="C489" i="3"/>
  <c r="C493" i="3"/>
  <c r="C497" i="3"/>
  <c r="C501" i="3"/>
  <c r="C505" i="3"/>
  <c r="C509" i="3"/>
  <c r="C313" i="3"/>
  <c r="C317" i="3"/>
  <c r="C321" i="3"/>
  <c r="C325" i="3"/>
  <c r="C329" i="3"/>
  <c r="C333" i="3"/>
  <c r="C337" i="3"/>
  <c r="C341" i="3"/>
  <c r="C345" i="3"/>
  <c r="C349" i="3"/>
  <c r="C353" i="3"/>
  <c r="C357" i="3"/>
  <c r="C361" i="3"/>
  <c r="C365" i="3"/>
  <c r="C369" i="3"/>
  <c r="C373" i="3"/>
  <c r="C377" i="3"/>
  <c r="C381" i="3"/>
  <c r="C385" i="3"/>
  <c r="C389" i="3"/>
  <c r="C393" i="3"/>
  <c r="C397" i="3"/>
  <c r="C401" i="3"/>
  <c r="C405" i="3"/>
  <c r="C409" i="3"/>
  <c r="C213" i="3"/>
  <c r="C221" i="3"/>
  <c r="C229" i="3"/>
  <c r="C237" i="3"/>
  <c r="C241" i="3"/>
  <c r="C245" i="3"/>
  <c r="C249" i="3"/>
  <c r="C253" i="3"/>
  <c r="C257" i="3"/>
  <c r="C261" i="3"/>
  <c r="C265" i="3"/>
  <c r="C266" i="3"/>
  <c r="C271" i="3"/>
  <c r="C275" i="3"/>
  <c r="C279" i="3"/>
  <c r="C283" i="3"/>
  <c r="C287" i="3"/>
  <c r="C291" i="3"/>
  <c r="C295" i="3"/>
  <c r="C299" i="3"/>
  <c r="C303" i="3"/>
  <c r="C307" i="3"/>
  <c r="C111" i="3"/>
  <c r="C115" i="3"/>
  <c r="C119" i="3"/>
  <c r="C123" i="3"/>
  <c r="C127" i="3"/>
  <c r="C131" i="3"/>
  <c r="C135" i="3"/>
  <c r="C139" i="3"/>
  <c r="C143" i="3"/>
  <c r="C147" i="3"/>
  <c r="C151" i="3"/>
  <c r="C155" i="3"/>
  <c r="C159" i="3"/>
  <c r="C163" i="3"/>
  <c r="C167" i="3"/>
  <c r="C171" i="3"/>
  <c r="C175" i="3"/>
  <c r="C179" i="3"/>
  <c r="C183" i="3"/>
  <c r="C187" i="3"/>
  <c r="C191" i="3"/>
  <c r="C195" i="3"/>
  <c r="C199" i="3"/>
  <c r="C203" i="3"/>
  <c r="C207" i="3"/>
  <c r="A11" i="3"/>
  <c r="C15" i="3"/>
  <c r="C19" i="3"/>
  <c r="C23" i="3"/>
  <c r="C27" i="3"/>
  <c r="C31" i="3"/>
  <c r="C35" i="3"/>
  <c r="C39" i="3"/>
  <c r="C43" i="3"/>
  <c r="C47" i="3"/>
  <c r="C51" i="3"/>
  <c r="C55" i="3"/>
  <c r="C59" i="3"/>
  <c r="C63" i="3"/>
  <c r="C67" i="3"/>
  <c r="C71" i="3"/>
  <c r="C75" i="3"/>
  <c r="C79" i="3"/>
  <c r="C83" i="3"/>
  <c r="C87" i="3"/>
  <c r="C91" i="3"/>
  <c r="C95" i="3"/>
  <c r="C99" i="3"/>
  <c r="C103" i="3"/>
  <c r="C107" i="3"/>
  <c r="C268" i="3"/>
  <c r="C272" i="3"/>
  <c r="C276" i="3"/>
  <c r="C280" i="3"/>
  <c r="C284" i="3"/>
  <c r="C288" i="3"/>
  <c r="C292" i="3"/>
  <c r="C296" i="3"/>
  <c r="C300" i="3"/>
  <c r="C304" i="3"/>
  <c r="C308" i="3"/>
  <c r="C112" i="3"/>
  <c r="C116" i="3"/>
  <c r="C120" i="3"/>
  <c r="C124" i="3"/>
  <c r="C128" i="3"/>
  <c r="C132" i="3"/>
  <c r="C136" i="3"/>
  <c r="C140" i="3"/>
  <c r="C144" i="3"/>
  <c r="C148" i="3"/>
  <c r="C152" i="3"/>
  <c r="C156" i="3"/>
  <c r="C160" i="3"/>
  <c r="C164" i="3"/>
  <c r="C168" i="3"/>
  <c r="C172" i="3"/>
  <c r="C176" i="3"/>
  <c r="C180" i="3"/>
  <c r="C184" i="3"/>
  <c r="C188" i="3"/>
  <c r="C192" i="3"/>
  <c r="C196" i="3"/>
  <c r="C200" i="3"/>
  <c r="C204" i="3"/>
  <c r="C208" i="3"/>
  <c r="C12" i="3"/>
  <c r="C16" i="3"/>
  <c r="C20" i="3"/>
  <c r="C24" i="3"/>
  <c r="C28" i="3"/>
  <c r="C32" i="3"/>
  <c r="C36" i="3"/>
  <c r="C40" i="3"/>
  <c r="C44" i="3"/>
  <c r="C48" i="3"/>
  <c r="C52" i="3"/>
  <c r="C56" i="3"/>
  <c r="C60" i="3"/>
  <c r="C64" i="3"/>
  <c r="C68" i="3"/>
  <c r="C72" i="3"/>
  <c r="C76" i="3"/>
  <c r="C80" i="3"/>
  <c r="C84" i="3"/>
  <c r="C88" i="3"/>
  <c r="C92" i="3"/>
  <c r="C96" i="3"/>
  <c r="C100" i="3"/>
  <c r="C104" i="3"/>
  <c r="C108" i="3"/>
  <c r="C182" i="3"/>
  <c r="C186" i="3"/>
  <c r="C194" i="3"/>
  <c r="C206" i="3"/>
  <c r="C14" i="3"/>
  <c r="C18" i="3"/>
  <c r="C26" i="3"/>
  <c r="C38" i="3"/>
  <c r="C46" i="3"/>
  <c r="C50" i="3"/>
  <c r="C58" i="3"/>
  <c r="C66" i="3"/>
  <c r="C74" i="3"/>
  <c r="C86" i="3"/>
  <c r="C94" i="3"/>
  <c r="C102" i="3"/>
  <c r="C110" i="3"/>
  <c r="C217" i="3"/>
  <c r="C225" i="3"/>
  <c r="C233" i="3"/>
  <c r="C239" i="3"/>
  <c r="C243" i="3"/>
  <c r="C247" i="3"/>
  <c r="C251" i="3"/>
  <c r="C255" i="3"/>
  <c r="C259" i="3"/>
  <c r="C263" i="3"/>
  <c r="C267" i="3"/>
  <c r="C269" i="3"/>
  <c r="C273" i="3"/>
  <c r="C277" i="3"/>
  <c r="C281" i="3"/>
  <c r="C285" i="3"/>
  <c r="C289" i="3"/>
  <c r="C293" i="3"/>
  <c r="C297" i="3"/>
  <c r="C301" i="3"/>
  <c r="C305" i="3"/>
  <c r="C309" i="3"/>
  <c r="C113" i="3"/>
  <c r="C117" i="3"/>
  <c r="C121" i="3"/>
  <c r="C125" i="3"/>
  <c r="C129" i="3"/>
  <c r="C133" i="3"/>
  <c r="C137" i="3"/>
  <c r="C141" i="3"/>
  <c r="C145" i="3"/>
  <c r="C149" i="3"/>
  <c r="C153" i="3"/>
  <c r="C157" i="3"/>
  <c r="C161" i="3"/>
  <c r="C165" i="3"/>
  <c r="C169" i="3"/>
  <c r="C173" i="3"/>
  <c r="C177" i="3"/>
  <c r="C181" i="3"/>
  <c r="C185" i="3"/>
  <c r="C189" i="3"/>
  <c r="C193" i="3"/>
  <c r="C197" i="3"/>
  <c r="C201" i="3"/>
  <c r="C205" i="3"/>
  <c r="C209" i="3"/>
  <c r="C13" i="3"/>
  <c r="C17" i="3"/>
  <c r="C21" i="3"/>
  <c r="C25" i="3"/>
  <c r="C29" i="3"/>
  <c r="C33" i="3"/>
  <c r="C37" i="3"/>
  <c r="C41" i="3"/>
  <c r="C45" i="3"/>
  <c r="C49" i="3"/>
  <c r="C53" i="3"/>
  <c r="C57" i="3"/>
  <c r="C61" i="3"/>
  <c r="C65" i="3"/>
  <c r="C69" i="3"/>
  <c r="C73" i="3"/>
  <c r="C77" i="3"/>
  <c r="C81" i="3"/>
  <c r="C85" i="3"/>
  <c r="C89" i="3"/>
  <c r="C93" i="3"/>
  <c r="C97" i="3"/>
  <c r="C101" i="3"/>
  <c r="C105" i="3"/>
  <c r="C109" i="3"/>
  <c r="C270" i="3"/>
  <c r="C274" i="3"/>
  <c r="C278" i="3"/>
  <c r="C282" i="3"/>
  <c r="C286" i="3"/>
  <c r="C290" i="3"/>
  <c r="C294" i="3"/>
  <c r="C298" i="3"/>
  <c r="C302" i="3"/>
  <c r="C306" i="3"/>
  <c r="C310" i="3"/>
  <c r="C114" i="3"/>
  <c r="C118" i="3"/>
  <c r="C122" i="3"/>
  <c r="C126" i="3"/>
  <c r="C130" i="3"/>
  <c r="C134" i="3"/>
  <c r="C138" i="3"/>
  <c r="C142" i="3"/>
  <c r="C146" i="3"/>
  <c r="C150" i="3"/>
  <c r="C154" i="3"/>
  <c r="C158" i="3"/>
  <c r="C162" i="3"/>
  <c r="C166" i="3"/>
  <c r="C170" i="3"/>
  <c r="C174" i="3"/>
  <c r="C178" i="3"/>
  <c r="C190" i="3"/>
  <c r="C198" i="3"/>
  <c r="C202" i="3"/>
  <c r="C210" i="3"/>
  <c r="C22" i="3"/>
  <c r="C30" i="3"/>
  <c r="C34" i="3"/>
  <c r="C42" i="3"/>
  <c r="C54" i="3"/>
  <c r="C62" i="3"/>
  <c r="C70" i="3"/>
  <c r="C78" i="3"/>
  <c r="C82" i="3"/>
  <c r="C90" i="3"/>
  <c r="C98" i="3"/>
  <c r="C106" i="3"/>
  <c r="C761" i="3"/>
</calcChain>
</file>

<file path=xl/sharedStrings.xml><?xml version="1.0" encoding="utf-8"?>
<sst xmlns="http://schemas.openxmlformats.org/spreadsheetml/2006/main" count="1625" uniqueCount="1570">
  <si>
    <t>Business Unit</t>
  </si>
  <si>
    <t>Period  from to</t>
  </si>
  <si>
    <t>Accounts</t>
  </si>
  <si>
    <t>Journal Type</t>
  </si>
  <si>
    <t>C</t>
  </si>
  <si>
    <t>TO</t>
  </si>
  <si>
    <t>CZZZZ</t>
  </si>
  <si>
    <t>Description</t>
  </si>
  <si>
    <t>Date</t>
  </si>
  <si>
    <t>Number</t>
  </si>
  <si>
    <t>Currency</t>
  </si>
  <si>
    <t>Percent</t>
  </si>
  <si>
    <t>Sales Account</t>
  </si>
  <si>
    <t>Import</t>
  </si>
  <si>
    <t>Export</t>
  </si>
  <si>
    <t>Bank Details</t>
  </si>
  <si>
    <t>Other</t>
  </si>
  <si>
    <t>Total</t>
  </si>
  <si>
    <t>Base Amount</t>
  </si>
  <si>
    <t>LENNOX LABORATORY SUPPLIES LTD</t>
  </si>
  <si>
    <t>CAC007</t>
  </si>
  <si>
    <t>BUNZL CLEANING &amp; SAFETY SUPPLIES</t>
  </si>
  <si>
    <t>CON001</t>
  </si>
  <si>
    <t>CCW000</t>
  </si>
  <si>
    <t>CTO003</t>
  </si>
  <si>
    <t>ANTALIS LTD</t>
  </si>
  <si>
    <t>GAEL LINN</t>
  </si>
  <si>
    <t>CCA004</t>
  </si>
  <si>
    <t>CBE000</t>
  </si>
  <si>
    <t>CMU002</t>
  </si>
  <si>
    <t>CTH007</t>
  </si>
  <si>
    <t>CIN001</t>
  </si>
  <si>
    <t>CMI010</t>
  </si>
  <si>
    <t>CID004</t>
  </si>
  <si>
    <t>CEI004</t>
  </si>
  <si>
    <t>MAEVE RYAN</t>
  </si>
  <si>
    <t>CORAJIO T/A MR PRICE</t>
  </si>
  <si>
    <t>CLASSROOM GUIDANCE</t>
  </si>
  <si>
    <t>CCA001</t>
  </si>
  <si>
    <t>CCA003</t>
  </si>
  <si>
    <t>CCO001</t>
  </si>
  <si>
    <t>CCO012</t>
  </si>
  <si>
    <t>CCO196</t>
  </si>
  <si>
    <t>CDC003</t>
  </si>
  <si>
    <t>CDE006</t>
  </si>
  <si>
    <t>CDE121</t>
  </si>
  <si>
    <t>NAPD</t>
  </si>
  <si>
    <t>EDUCATIONAL COMPANY OF IRELAND</t>
  </si>
  <si>
    <t>EDUCATE.IE</t>
  </si>
  <si>
    <t>CED051</t>
  </si>
  <si>
    <t>CDA015</t>
  </si>
  <si>
    <t>CDO000</t>
  </si>
  <si>
    <t>CDU003</t>
  </si>
  <si>
    <t>DURROW COMMUNICATIONS LTD</t>
  </si>
  <si>
    <t>CBL014</t>
  </si>
  <si>
    <t>CBN000</t>
  </si>
  <si>
    <t>CBO003</t>
  </si>
  <si>
    <t>BOTTLETOP MEDIA</t>
  </si>
  <si>
    <t>CCA205</t>
  </si>
  <si>
    <t>CAL081</t>
  </si>
  <si>
    <t>CAN178</t>
  </si>
  <si>
    <t>CAN040</t>
  </si>
  <si>
    <t>AN POST</t>
  </si>
  <si>
    <t>CJO142</t>
  </si>
  <si>
    <t>CIR000</t>
  </si>
  <si>
    <t>IRISH PAYROLL ASSOCIATION</t>
  </si>
  <si>
    <t>IRISH WATER</t>
  </si>
  <si>
    <t>CIT007</t>
  </si>
  <si>
    <t>CJB001</t>
  </si>
  <si>
    <t>CKM001</t>
  </si>
  <si>
    <t>LASERTEC MEDICAL SERVICES</t>
  </si>
  <si>
    <t>CLA078</t>
  </si>
  <si>
    <t>CMA020</t>
  </si>
  <si>
    <t>CLI000</t>
  </si>
  <si>
    <t>CGL010</t>
  </si>
  <si>
    <t>GL EDUCATION GROUP LTD</t>
  </si>
  <si>
    <t>CHA043</t>
  </si>
  <si>
    <t>HEALTHCARE 21</t>
  </si>
  <si>
    <t>HOME APPLIANCES T/A DID ELECTRICAL</t>
  </si>
  <si>
    <t>EIR BUSINESS SYSTEMS</t>
  </si>
  <si>
    <t>EMOVEMENT TOURS LTD</t>
  </si>
  <si>
    <t>ECIFFO OFFICE LIMITED</t>
  </si>
  <si>
    <t>CFO019</t>
  </si>
  <si>
    <t>FORENSIC FUN LIMITED</t>
  </si>
  <si>
    <t>CET000</t>
  </si>
  <si>
    <t>FIRST AID SUPPLIES</t>
  </si>
  <si>
    <t>FIRST AID COACHING</t>
  </si>
  <si>
    <t>CFI072</t>
  </si>
  <si>
    <t>CFL001</t>
  </si>
  <si>
    <t>CFL008</t>
  </si>
  <si>
    <t>CFL017</t>
  </si>
  <si>
    <t>WOOD THEORY &amp; PRACTICE</t>
  </si>
  <si>
    <t>CVO000</t>
  </si>
  <si>
    <t>CWA034</t>
  </si>
  <si>
    <t>COT002</t>
  </si>
  <si>
    <t>CNU011</t>
  </si>
  <si>
    <t>COF005</t>
  </si>
  <si>
    <t>PAT BOLGER ENGINEERING SERVICES</t>
  </si>
  <si>
    <t>PFH TECHNOLOGY GROUP</t>
  </si>
  <si>
    <t>CPF001</t>
  </si>
  <si>
    <t>CPR016</t>
  </si>
  <si>
    <t>CRA048</t>
  </si>
  <si>
    <t>CRM000</t>
  </si>
  <si>
    <t>CMU018</t>
  </si>
  <si>
    <t>CNE013</t>
  </si>
  <si>
    <t>CMU046</t>
  </si>
  <si>
    <t>CMY005</t>
  </si>
  <si>
    <t>CME035</t>
  </si>
  <si>
    <t>MEDALS AND TROPHIES 4U</t>
  </si>
  <si>
    <t>MIKO METALS LTD</t>
  </si>
  <si>
    <t>MICHAEL VIGNOLES</t>
  </si>
  <si>
    <t>STUDENT ENRICHMENT SERVICES</t>
  </si>
  <si>
    <t>SOLAS</t>
  </si>
  <si>
    <t>SUNAURA DISTRIBUTION LTD</t>
  </si>
  <si>
    <t>CSW001</t>
  </si>
  <si>
    <t>CSW002</t>
  </si>
  <si>
    <t>CSY001</t>
  </si>
  <si>
    <t>CTA034</t>
  </si>
  <si>
    <t>CSO001</t>
  </si>
  <si>
    <t>CPI013</t>
  </si>
  <si>
    <t>CRO049</t>
  </si>
  <si>
    <t>ROADMASTER CARAVANS LTD</t>
  </si>
  <si>
    <t>CSA001</t>
  </si>
  <si>
    <t>SAGE IRELAND</t>
  </si>
  <si>
    <t>SALESPULSE</t>
  </si>
  <si>
    <t>CSA057</t>
  </si>
  <si>
    <t>SAFETY IRELAND FIRST RESPONSE LTD</t>
  </si>
  <si>
    <t/>
  </si>
  <si>
    <t>Allocation Marker</t>
  </si>
  <si>
    <t>P</t>
  </si>
  <si>
    <t>Journal Source</t>
  </si>
  <si>
    <t>Ledger</t>
  </si>
  <si>
    <t>A</t>
  </si>
  <si>
    <t>PINV</t>
  </si>
  <si>
    <t>&lt;ALL&gt;</t>
  </si>
  <si>
    <t>!</t>
  </si>
  <si>
    <t>KCA</t>
  </si>
  <si>
    <t>001/2022</t>
  </si>
  <si>
    <t>012/2022</t>
  </si>
  <si>
    <t>IRISH PUBLIC BODIES MUTUAL INSURANCE LTD</t>
  </si>
  <si>
    <t>CBE071</t>
  </si>
  <si>
    <t>BELL CONTRACTS AND CO LTD</t>
  </si>
  <si>
    <t>CCA018</t>
  </si>
  <si>
    <t>CARLOW REGIONAL YOUTH SERVICE</t>
  </si>
  <si>
    <t>CDA017</t>
  </si>
  <si>
    <t>DATAPAC</t>
  </si>
  <si>
    <t>CPI017</t>
  </si>
  <si>
    <t>PICEL LTD</t>
  </si>
  <si>
    <t>COS002</t>
  </si>
  <si>
    <t>OSSORY YOUTH</t>
  </si>
  <si>
    <t>CEL071</t>
  </si>
  <si>
    <t>ELECTRIC IRELAND</t>
  </si>
  <si>
    <t>CRO013</t>
  </si>
  <si>
    <t>RONAYNE HIRE &amp; HARDWARE</t>
  </si>
  <si>
    <t>CIN043</t>
  </si>
  <si>
    <t>INDEPENDENT PHOTOCOPIER SERVICES LTD (IPSL)</t>
  </si>
  <si>
    <t>CHA015</t>
  </si>
  <si>
    <t>HARTLEY PEOPLE (TEMP)</t>
  </si>
  <si>
    <t>CTO037</t>
  </si>
  <si>
    <t>CIRCLE K IRELAND ENERGY LTD (FORMERLY TOPAZ)</t>
  </si>
  <si>
    <t>CFR027</t>
  </si>
  <si>
    <t>FRAN GRINCELL PROPERTIES</t>
  </si>
  <si>
    <t>CRA029</t>
  </si>
  <si>
    <t>RAYMOND COFFEY</t>
  </si>
  <si>
    <t>CAI009</t>
  </si>
  <si>
    <t>SSE AIRTRICITY LTD</t>
  </si>
  <si>
    <t>CFR041</t>
  </si>
  <si>
    <t>FRESH TODAY CATERING WEXFORD LTD</t>
  </si>
  <si>
    <t>CPA135</t>
  </si>
  <si>
    <t>PATRICIA LONG</t>
  </si>
  <si>
    <t>COF001</t>
  </si>
  <si>
    <t>OFFICE OF THE COMPTROLLER AND</t>
  </si>
  <si>
    <t>CRO009</t>
  </si>
  <si>
    <t>CWA006</t>
  </si>
  <si>
    <t>PETER WALSH AND SONS (MANUFACTURING) LTD</t>
  </si>
  <si>
    <t>CNO031</t>
  </si>
  <si>
    <t>NORESIDE CATERING</t>
  </si>
  <si>
    <t>CJO001</t>
  </si>
  <si>
    <t>JONES BUSINESS SYSTEMS</t>
  </si>
  <si>
    <t>CME024</t>
  </si>
  <si>
    <t>MEDIAVEST LTD T/A SPARK FOUNDRY</t>
  </si>
  <si>
    <t>CMC022</t>
  </si>
  <si>
    <t>MCCREERY CLEANING LTD</t>
  </si>
  <si>
    <t>CGR036</t>
  </si>
  <si>
    <t>GROUND INVESTIGATIONS IRELAND</t>
  </si>
  <si>
    <t>VODAFONE CREDIT MANAGEMENT</t>
  </si>
  <si>
    <t>CBU023</t>
  </si>
  <si>
    <t>CSO000</t>
  </si>
  <si>
    <t>SOUTH EAST ELEC WHOLESALE</t>
  </si>
  <si>
    <t>CWR000</t>
  </si>
  <si>
    <t>WRIGGLE LEARNING LTD</t>
  </si>
  <si>
    <t>COM006</t>
  </si>
  <si>
    <t>O MAHONYS BOOKSELLERS LTD</t>
  </si>
  <si>
    <t>CKI045</t>
  </si>
  <si>
    <t>KILKENNY SOCIAL SERVICES</t>
  </si>
  <si>
    <t>CSH127</t>
  </si>
  <si>
    <t>SHARPTEXT CORK LTD</t>
  </si>
  <si>
    <t>CJJ000</t>
  </si>
  <si>
    <t>J.J. KAVANAGH &amp; SONS LTD</t>
  </si>
  <si>
    <t>CFA026</t>
  </si>
  <si>
    <t>FARRELL ELECT WHOLESALE LTD T/A DOLPHIN ELECTRICAL</t>
  </si>
  <si>
    <t>CKE051</t>
  </si>
  <si>
    <t>KELLY,SWEENEY &amp; CONROY</t>
  </si>
  <si>
    <t>CEI000</t>
  </si>
  <si>
    <t>EIR</t>
  </si>
  <si>
    <t>CED027</t>
  </si>
  <si>
    <t>EDUCATION AND TRAINING BOARDS IRELAND</t>
  </si>
  <si>
    <t>CSA023</t>
  </si>
  <si>
    <t>CLY003</t>
  </si>
  <si>
    <t>LYRECO IRELAND LTD.</t>
  </si>
  <si>
    <t>CFL000</t>
  </si>
  <si>
    <t>FLOGAS IRELAND LTD</t>
  </si>
  <si>
    <t>CDR013</t>
  </si>
  <si>
    <t>DRAKELANDS PROPERTIES</t>
  </si>
  <si>
    <t>CMI001</t>
  </si>
  <si>
    <t>CSG000</t>
  </si>
  <si>
    <t>SG EDUCATION</t>
  </si>
  <si>
    <t>CDE080</t>
  </si>
  <si>
    <t>DELPHI ADVENTURE RESORT</t>
  </si>
  <si>
    <t>CBI025</t>
  </si>
  <si>
    <t>BIDVEST NOONAN GROUP (ROL)LTD</t>
  </si>
  <si>
    <t>CJE030</t>
  </si>
  <si>
    <t>JEFF HOWES</t>
  </si>
  <si>
    <t>CME016</t>
  </si>
  <si>
    <t>MEALEY BUILDING CONTRACTORS LTD</t>
  </si>
  <si>
    <t>CVO006</t>
  </si>
  <si>
    <t>VODAFONE IRELAND LIMITED</t>
  </si>
  <si>
    <t>CFO010</t>
  </si>
  <si>
    <t>FOROIGE</t>
  </si>
  <si>
    <t>CLE001</t>
  </si>
  <si>
    <t>CBR079</t>
  </si>
  <si>
    <t>BRIAN DUNLOP ARCHITECTS</t>
  </si>
  <si>
    <t>CWA038</t>
  </si>
  <si>
    <t>WAY2PAY LTD</t>
  </si>
  <si>
    <t>CGR030</t>
  </si>
  <si>
    <t>GREENSTAR</t>
  </si>
  <si>
    <t>CSC021</t>
  </si>
  <si>
    <t>SCHOOL THING LIMITED (VS WARE)</t>
  </si>
  <si>
    <t>PIERCE KAV. PROPERTIES T/A PIERCE KAVANAGH COACHES</t>
  </si>
  <si>
    <t>CMO051</t>
  </si>
  <si>
    <t>MORGAN DOYLE</t>
  </si>
  <si>
    <t>CST006</t>
  </si>
  <si>
    <t>STRAHAN DISTRIBUTORS</t>
  </si>
  <si>
    <t>CIN007</t>
  </si>
  <si>
    <t>INTERNATIONAL THERAPY EXAMINATION</t>
  </si>
  <si>
    <t>CAN112</t>
  </si>
  <si>
    <t>CCO109</t>
  </si>
  <si>
    <t>COMERAGH COACHES</t>
  </si>
  <si>
    <t>CSO043</t>
  </si>
  <si>
    <t>SOLVE IT MANAGEMENT LTD</t>
  </si>
  <si>
    <t>CMI162</t>
  </si>
  <si>
    <t>MICHAEL FLANNERY CATERING SUPPLIES</t>
  </si>
  <si>
    <t>CRE063</t>
  </si>
  <si>
    <t>REUSABLE PLASTIC LTD/IRISH RECYCLED PROD</t>
  </si>
  <si>
    <t>CAI057</t>
  </si>
  <si>
    <t>AISLINN AISEIRI TREATMENT CENTRE</t>
  </si>
  <si>
    <t>CTA017</t>
  </si>
  <si>
    <t>TARA ART SUPPLIES</t>
  </si>
  <si>
    <t>CFE000</t>
  </si>
  <si>
    <t>FEXCO COMMERCIAL FX SERVICES</t>
  </si>
  <si>
    <t>CJI014</t>
  </si>
  <si>
    <t>JIM CAMPION</t>
  </si>
  <si>
    <t>CDS000</t>
  </si>
  <si>
    <t>DS MORETTE SPORTSWEAR LTD</t>
  </si>
  <si>
    <t>CVI021</t>
  </si>
  <si>
    <t>VINCENT FOLEY CONSTRUCTION</t>
  </si>
  <si>
    <t>CBE036</t>
  </si>
  <si>
    <t>BERNARD KAVANAGH AND SONS LTD</t>
  </si>
  <si>
    <t>CIR057</t>
  </si>
  <si>
    <t>CMC014</t>
  </si>
  <si>
    <t>MCSPORT</t>
  </si>
  <si>
    <t>CST000</t>
  </si>
  <si>
    <t>ST CATHERINE'S</t>
  </si>
  <si>
    <t>CDU019</t>
  </si>
  <si>
    <t>DUGGAN COACHES</t>
  </si>
  <si>
    <t>CSP006</t>
  </si>
  <si>
    <t>SPECIALIST CRAFTS IRE</t>
  </si>
  <si>
    <t>CST058</t>
  </si>
  <si>
    <t>ST STEPHEN'S BNS</t>
  </si>
  <si>
    <t>ACTAVO  (FORMALLY ROANKABIN)</t>
  </si>
  <si>
    <t>CTH013</t>
  </si>
  <si>
    <t>THE IRISH COPYRIGHT</t>
  </si>
  <si>
    <t>CPI002</t>
  </si>
  <si>
    <t>PILTOWN COACHES</t>
  </si>
  <si>
    <t>CCU011</t>
  </si>
  <si>
    <t>CURRAN FOODS</t>
  </si>
  <si>
    <t>CJR001</t>
  </si>
  <si>
    <t>JRD WALLACE</t>
  </si>
  <si>
    <t>CNE006</t>
  </si>
  <si>
    <t>NEOPOST IRELAND POSTAGE LTD (QUADIENT)</t>
  </si>
  <si>
    <t>CSE050</t>
  </si>
  <si>
    <t>SEVILLE LODGE TRUST</t>
  </si>
  <si>
    <t>CAQ001</t>
  </si>
  <si>
    <t>AQUA FIRE PREVENTION LTD</t>
  </si>
  <si>
    <t>ARTHURS SUPERVALU</t>
  </si>
  <si>
    <t>CDB002</t>
  </si>
  <si>
    <t>D. BRENNAN &amp; ASSOCIATES</t>
  </si>
  <si>
    <t>CWA000</t>
  </si>
  <si>
    <t>WATERFORD INSTITUTE OF TECHNOLOGY</t>
  </si>
  <si>
    <t>CCO104</t>
  </si>
  <si>
    <t>CORA LONG</t>
  </si>
  <si>
    <t>CMD004</t>
  </si>
  <si>
    <t>M DOWLING MOTOR REPAIRS LTD</t>
  </si>
  <si>
    <t>CTH144</t>
  </si>
  <si>
    <t>THE SOUND SHOP (DROGHEDA) LTD</t>
  </si>
  <si>
    <t>CZE005</t>
  </si>
  <si>
    <t>ZEUS PACKAGING LTD</t>
  </si>
  <si>
    <t>CRE003</t>
  </si>
  <si>
    <t>RENTOKIL INITIAL T/A CANNON HYGIENE</t>
  </si>
  <si>
    <t>CMU029</t>
  </si>
  <si>
    <t>MUSICMAKER LTD</t>
  </si>
  <si>
    <t>Sytorus Limited t/a Privacy Engine</t>
  </si>
  <si>
    <t>CHA041</t>
  </si>
  <si>
    <t>HARTLEY PEOPLE (TRAINING)</t>
  </si>
  <si>
    <t>CTI026</t>
  </si>
  <si>
    <t>TINPOT PRODUCTIONS LIMITED</t>
  </si>
  <si>
    <t>CFR013</t>
  </si>
  <si>
    <t>FRANK MORAN</t>
  </si>
  <si>
    <t>JBS GROUP</t>
  </si>
  <si>
    <t>CKI021</t>
  </si>
  <si>
    <t>KILKENNY EDUCATION CENTRE</t>
  </si>
  <si>
    <t>CED057</t>
  </si>
  <si>
    <t>EDMUND RICE CENTRE</t>
  </si>
  <si>
    <t>CBA087</t>
  </si>
  <si>
    <t>BANNER GROUP LTD</t>
  </si>
  <si>
    <t>FOCUS VISUAL COMMUNICATION</t>
  </si>
  <si>
    <t>CCA002</t>
  </si>
  <si>
    <t>Catherine O'Dowd</t>
  </si>
  <si>
    <t>CDR016</t>
  </si>
  <si>
    <t>DR CANDICE E CONDON CHARTERED</t>
  </si>
  <si>
    <t>CWO018</t>
  </si>
  <si>
    <t>WORKWEAR EXPERTS LTD</t>
  </si>
  <si>
    <t>Dalton TV.ie t/a Comtech Television Ltd</t>
  </si>
  <si>
    <t>CDI026</t>
  </si>
  <si>
    <t>CBO020</t>
  </si>
  <si>
    <t>Borris  Vocational School Parents Association</t>
  </si>
  <si>
    <t>CMI190</t>
  </si>
  <si>
    <t>CSE003</t>
  </si>
  <si>
    <t>SEAMUS BYRNE ELECTRICAL LTD</t>
  </si>
  <si>
    <t>CPL005</t>
  </si>
  <si>
    <t>PLASTIC WATER PIPING T/A PWP CLEANMACHINES</t>
  </si>
  <si>
    <t>CCA201</t>
  </si>
  <si>
    <t>CAULFIELDS SUPERVALU</t>
  </si>
  <si>
    <t>CBO037</t>
  </si>
  <si>
    <t>CSO037</t>
  </si>
  <si>
    <t>CAS030</t>
  </si>
  <si>
    <t>ASHBOURNE VISITOR CENTRE T/A TAYTO PARK</t>
  </si>
  <si>
    <t>CSA003</t>
  </si>
  <si>
    <t>Savins Music Centre</t>
  </si>
  <si>
    <t>CPO015</t>
  </si>
  <si>
    <t>POWERPOINT ENGINEERING</t>
  </si>
  <si>
    <t>CNA003</t>
  </si>
  <si>
    <t>NATIONALIST &amp; LEINSTER TIMES LTD</t>
  </si>
  <si>
    <t>KMS JOINERY LTD</t>
  </si>
  <si>
    <t>CAM040</t>
  </si>
  <si>
    <t>AMICI SEMPRE LTD T/A THE KILKENNY OBSERVER</t>
  </si>
  <si>
    <t>CPO004</t>
  </si>
  <si>
    <t>PURCHASE POWER</t>
  </si>
  <si>
    <t>CKA001</t>
  </si>
  <si>
    <t>Kartworld Adventure Centre</t>
  </si>
  <si>
    <t>CDI016</t>
  </si>
  <si>
    <t>DIGITAL SYSTEMS &amp; INSTALLATIONS LTD</t>
  </si>
  <si>
    <t>COR024</t>
  </si>
  <si>
    <t>O'REILLY SPORTS LTD</t>
  </si>
  <si>
    <t>CLA037</t>
  </si>
  <si>
    <t>CDR009</t>
  </si>
  <si>
    <t>DROICHEAD FAMILY RESOURCE CENTRE</t>
  </si>
  <si>
    <t>CKA096</t>
  </si>
  <si>
    <t>KAT HEALY</t>
  </si>
  <si>
    <t>CGJ001</t>
  </si>
  <si>
    <t>GERALD DUFFY</t>
  </si>
  <si>
    <t>CCA188</t>
  </si>
  <si>
    <t>CAVAN AND MONAGHAN ETB</t>
  </si>
  <si>
    <t>CWK000</t>
  </si>
  <si>
    <t>WKW FM LTD.</t>
  </si>
  <si>
    <t>CED055</t>
  </si>
  <si>
    <t>EDUCATION POSTS.IE</t>
  </si>
  <si>
    <t>CFO020</t>
  </si>
  <si>
    <t>FORMPRESS PUBLISHING T/A ICONIC NEWSPAPE</t>
  </si>
  <si>
    <t>LA ROUSSE FOODS</t>
  </si>
  <si>
    <t>CHE087</t>
  </si>
  <si>
    <t>HENDRIK BEEMELMANNS</t>
  </si>
  <si>
    <t>CLU013</t>
  </si>
  <si>
    <t>LUISE NORDMEYER</t>
  </si>
  <si>
    <t>CCI028</t>
  </si>
  <si>
    <t>KIERAN O'BRIEN T/A DRIVERS ED IRELAND</t>
  </si>
  <si>
    <t>CAP004</t>
  </si>
  <si>
    <t>Apex Surveys</t>
  </si>
  <si>
    <t>CAL041</t>
  </si>
  <si>
    <t>ALAN COMMINS1</t>
  </si>
  <si>
    <t>CAP000</t>
  </si>
  <si>
    <t>AP SYSTEMS LTD</t>
  </si>
  <si>
    <t>CSE108</t>
  </si>
  <si>
    <t>SEOMRA SOLAS</t>
  </si>
  <si>
    <t>CPR036</t>
  </si>
  <si>
    <t>PREMIER FIRST AID TRAINING</t>
  </si>
  <si>
    <t>CDE113</t>
  </si>
  <si>
    <t>DENIS TREACY</t>
  </si>
  <si>
    <t>CBO002</t>
  </si>
  <si>
    <t>BOC GASES IRELAND LTD</t>
  </si>
  <si>
    <t>CLO064</t>
  </si>
  <si>
    <t>LOUISE GAMBRILL</t>
  </si>
  <si>
    <t>CFA025</t>
  </si>
  <si>
    <t>FARRELL BROTHERS ARDEE LTD</t>
  </si>
  <si>
    <t>CPD007</t>
  </si>
  <si>
    <t>PD FENCING LTD</t>
  </si>
  <si>
    <t>CNE036</t>
  </si>
  <si>
    <t>NEWCOURT RETIREMENT FUND MAN. LTD (JOHN O SHEA)</t>
  </si>
  <si>
    <t>CSP018</t>
  </si>
  <si>
    <t>SPRINGHILL COURT HOTEL</t>
  </si>
  <si>
    <t>CPE001</t>
  </si>
  <si>
    <t>PERRYS CASH &amp; CARRY</t>
  </si>
  <si>
    <t>CST122</t>
  </si>
  <si>
    <t>ST CANICES NEIGHBOURHOOD HALL (ST CANICES COMMUNIT</t>
  </si>
  <si>
    <t>CME037</t>
  </si>
  <si>
    <t>MEDGUARD HEALTHCARE</t>
  </si>
  <si>
    <t>CST056</t>
  </si>
  <si>
    <t>ST.  KIERANS COLLEGE</t>
  </si>
  <si>
    <t>CFR012</t>
  </si>
  <si>
    <t>Frametastic - Gavin Byrne</t>
  </si>
  <si>
    <t>CDA076</t>
  </si>
  <si>
    <t>DANVILLE BUS PARK C/O MASON OWEN &amp; LYONS</t>
  </si>
  <si>
    <t>CAT010</t>
  </si>
  <si>
    <t>ATHENA ANALYTICS LTD.</t>
  </si>
  <si>
    <t>COC003</t>
  </si>
  <si>
    <t>OCEAN HYGIENE SUPPLIES &amp; PACKAGING</t>
  </si>
  <si>
    <t>O'Flynn Exhams LLP</t>
  </si>
  <si>
    <t>CCO185</t>
  </si>
  <si>
    <t>COFFEE LABORATORY LTD</t>
  </si>
  <si>
    <t>CMA420</t>
  </si>
  <si>
    <t>MARK DOYLE RAILWAY INN</t>
  </si>
  <si>
    <t>CDO005</t>
  </si>
  <si>
    <t>M.P. DOYLE LTD. HARDWARE</t>
  </si>
  <si>
    <t>CSP031</t>
  </si>
  <si>
    <t>SPRING HOSPITALITY T/A THE HOBAN</t>
  </si>
  <si>
    <t>CSI034</t>
  </si>
  <si>
    <t>SINGER SEWING CENTRE</t>
  </si>
  <si>
    <t>CPI000</t>
  </si>
  <si>
    <t>PITNEY BOWES (IRELAND) LTD</t>
  </si>
  <si>
    <t>CMI021</t>
  </si>
  <si>
    <t>MICROMAIL</t>
  </si>
  <si>
    <t>CSE049</t>
  </si>
  <si>
    <t>KARWALL LTD T/A SENTRY SECURITY</t>
  </si>
  <si>
    <t>CJA138</t>
  </si>
  <si>
    <t>JAMES LYSTER CONSELLING AND PSYCHOTHERAPY</t>
  </si>
  <si>
    <t>CKO001</t>
  </si>
  <si>
    <t>KONE IRELAND LTD.</t>
  </si>
  <si>
    <t>CKI020</t>
  </si>
  <si>
    <t>KILKENNY COUNTY COUNCIL</t>
  </si>
  <si>
    <t>CTO053</t>
  </si>
  <si>
    <t>TOP PRO KICKBOXING CLUB</t>
  </si>
  <si>
    <t>CRE004</t>
  </si>
  <si>
    <t>Rehan Electronics Ltd</t>
  </si>
  <si>
    <t>CMS007</t>
  </si>
  <si>
    <t>MSM CONSULTING ENGINEERS</t>
  </si>
  <si>
    <t>CTH102</t>
  </si>
  <si>
    <t>A J BLINDS LTD T/A THE BLINDS BOUTIQUE</t>
  </si>
  <si>
    <t>CDE000</t>
  </si>
  <si>
    <t>DECLAN BYRNE &amp; SONS LTD</t>
  </si>
  <si>
    <t>CCH083</t>
  </si>
  <si>
    <t>CHARLES HUGHES LTD</t>
  </si>
  <si>
    <t>CBY003</t>
  </si>
  <si>
    <t>BYTEK OFFICE SYSTMES LTD</t>
  </si>
  <si>
    <t>NUGENT SAFETY LTD T/A NUGENT WORK WEAR &amp; SAFETY</t>
  </si>
  <si>
    <t>CRI029</t>
  </si>
  <si>
    <t>RICHARD DAVIS CONSTRUCTION &amp; PLASTERING SERVICES</t>
  </si>
  <si>
    <t>CQF001</t>
  </si>
  <si>
    <t>Q Flow</t>
  </si>
  <si>
    <t>ITEC IRISH TRAINING &amp; EDUCATIONAL CENTRE</t>
  </si>
  <si>
    <t>CTO049</t>
  </si>
  <si>
    <t>TOMMY MURPHY</t>
  </si>
  <si>
    <t>CPR048</t>
  </si>
  <si>
    <t>THE PRINCIPAL (SCHOOL A/C)</t>
  </si>
  <si>
    <t>CEA021</t>
  </si>
  <si>
    <t>EAMON MAHER COACH HIRE</t>
  </si>
  <si>
    <t>CIM010</t>
  </si>
  <si>
    <t>IMC KILKENNY T/A KENSINGTON ADVENTURES LTD</t>
  </si>
  <si>
    <t>CCA023</t>
  </si>
  <si>
    <t>CARLOW SECURITY SERVICES</t>
  </si>
  <si>
    <t>CMU015</t>
  </si>
  <si>
    <t>Murphy Removals</t>
  </si>
  <si>
    <t>PREMIER SOUND &amp; LIGHTING SOLUTIONS</t>
  </si>
  <si>
    <t>CKI048</t>
  </si>
  <si>
    <t>KILKENNY CRYSTAL</t>
  </si>
  <si>
    <t>CJO151</t>
  </si>
  <si>
    <t>JOE O'NEILL &amp; SONS TRANSPORT LTD</t>
  </si>
  <si>
    <t>CNI007</t>
  </si>
  <si>
    <t>NISBETS</t>
  </si>
  <si>
    <t>CBR068</t>
  </si>
  <si>
    <t>BRETTS GENERAL HARDWARE</t>
  </si>
  <si>
    <t>CJA004</t>
  </si>
  <si>
    <t>Jack and Jade Ltd</t>
  </si>
  <si>
    <t>CJO138</t>
  </si>
  <si>
    <t>JOHN KINSELLA</t>
  </si>
  <si>
    <t>CSE000</t>
  </si>
  <si>
    <t>SEVEN OAKS HOTEL</t>
  </si>
  <si>
    <t>CSO023</t>
  </si>
  <si>
    <t>SORD DATA SYSTEMS LTD</t>
  </si>
  <si>
    <t>MURPHY CONTRACT CLEANERS</t>
  </si>
  <si>
    <t>CME010</t>
  </si>
  <si>
    <t>MEDMARK OCCUPATIONAL HEALTH CARE</t>
  </si>
  <si>
    <t>CKA107</t>
  </si>
  <si>
    <t>KAIDEEN &amp; CO LTD</t>
  </si>
  <si>
    <t>COL023</t>
  </si>
  <si>
    <t>OLDTOWN ELECTRICAL</t>
  </si>
  <si>
    <t>CAB014</t>
  </si>
  <si>
    <t>ABACUS COMMUNICATIONS</t>
  </si>
  <si>
    <t>COG000</t>
  </si>
  <si>
    <t>O'GORMAN CONTRACT CLEANERS</t>
  </si>
  <si>
    <t>CHE035</t>
  </si>
  <si>
    <t>HEDGEHOG PRODUCTION LTD</t>
  </si>
  <si>
    <t>CKI042</t>
  </si>
  <si>
    <t>KILKENNY &amp; CARLOW E.T.B.</t>
  </si>
  <si>
    <t>CEN002</t>
  </si>
  <si>
    <t>Enviroclad Installations</t>
  </si>
  <si>
    <t>CDE108</t>
  </si>
  <si>
    <t>DEPARTMENT OF CHILDREN AND YOUTH AFFAIRS</t>
  </si>
  <si>
    <t>CBI007</t>
  </si>
  <si>
    <t>BITS SOUTH EAST LTD</t>
  </si>
  <si>
    <t>CBO004</t>
  </si>
  <si>
    <t>Bord Gais Energy Theatre</t>
  </si>
  <si>
    <t>CUR000</t>
  </si>
  <si>
    <t>URSULA EGAN</t>
  </si>
  <si>
    <t>CTR051</t>
  </si>
  <si>
    <t>TREACY'S HOMEVALUE LTD</t>
  </si>
  <si>
    <t>CMO023</t>
  </si>
  <si>
    <t>MORRIS BUILDERS PROVIDERS LTD</t>
  </si>
  <si>
    <t>Flagpoles Ireland</t>
  </si>
  <si>
    <t>ANTIM ENTERPRISES LTD</t>
  </si>
  <si>
    <t>CMU050</t>
  </si>
  <si>
    <t>MURRAYS RECYCLED PLASTICS LTD</t>
  </si>
  <si>
    <t>CAL016</t>
  </si>
  <si>
    <t>DOCUMENT ARCHIVE SOLUTIONS (ALLDOCS)</t>
  </si>
  <si>
    <t>CGL023</t>
  </si>
  <si>
    <t>GLENPATRICK WATER COOLERS</t>
  </si>
  <si>
    <t>CRP000</t>
  </si>
  <si>
    <t>RPM SUPPLIES LTD</t>
  </si>
  <si>
    <t>CPA233</t>
  </si>
  <si>
    <t>SYSCO FOODS</t>
  </si>
  <si>
    <t>CFI001</t>
  </si>
  <si>
    <t>Film Equipment Hire Ltd</t>
  </si>
  <si>
    <t>CEX001</t>
  </si>
  <si>
    <t>PEAK LEARNING LTD T/A EXAMCRAFT GROUP</t>
  </si>
  <si>
    <t>CFL009</t>
  </si>
  <si>
    <t>FLEMING MEDICAL LTD</t>
  </si>
  <si>
    <t>CBA081</t>
  </si>
  <si>
    <t>BALLYHASS ADVENTURE GROUP</t>
  </si>
  <si>
    <t>CSC025</t>
  </si>
  <si>
    <t>SCULLY FIRST AID</t>
  </si>
  <si>
    <t>CRA032</t>
  </si>
  <si>
    <t>RADIUS TECHNOLOGIES</t>
  </si>
  <si>
    <t>CCA178</t>
  </si>
  <si>
    <t>CARLOW COMMUNITY ENTERPRISE CENTRES LTD.</t>
  </si>
  <si>
    <t>CJE014</t>
  </si>
  <si>
    <t>Jessica Kenny</t>
  </si>
  <si>
    <t>CAD023</t>
  </si>
  <si>
    <t>ADT FIRE &amp; SECURITY LTD</t>
  </si>
  <si>
    <t>CJL001</t>
  </si>
  <si>
    <t>J.L. BRADSHAW &amp; CO. LTD.</t>
  </si>
  <si>
    <t>CCA121</t>
  </si>
  <si>
    <t>CASTLECOMER DISCOVERY PARK</t>
  </si>
  <si>
    <t>O'NEILLS IRISH INTER. SPORTS COMP. LTD</t>
  </si>
  <si>
    <t>CKI129</t>
  </si>
  <si>
    <t>KIERAN WHITE</t>
  </si>
  <si>
    <t>CCA317</t>
  </si>
  <si>
    <t>CARLOW SELF STORAGE</t>
  </si>
  <si>
    <t>CTR032</t>
  </si>
  <si>
    <t>TREFLOR-MIGIRA LTD</t>
  </si>
  <si>
    <t>CNE039</t>
  </si>
  <si>
    <t>NEWSPREAD LTD T/A REACH DELPAC</t>
  </si>
  <si>
    <t>CEK000</t>
  </si>
  <si>
    <t>E KETT</t>
  </si>
  <si>
    <t>CTH150</t>
  </si>
  <si>
    <t>THE LAZY RIVER CAFE</t>
  </si>
  <si>
    <t>CRE002</t>
  </si>
  <si>
    <t>Revolve Bike Shop</t>
  </si>
  <si>
    <t>CKI017</t>
  </si>
  <si>
    <t>KILDARE &amp; LEIGHLIN SERVICES</t>
  </si>
  <si>
    <t>CHU011</t>
  </si>
  <si>
    <t>HUSQVARNA CENTRE NEW ROSS</t>
  </si>
  <si>
    <t>CGA020</t>
  </si>
  <si>
    <t>CASTLE NURSERY-GARDNERS WORLD</t>
  </si>
  <si>
    <t>CEM048</t>
  </si>
  <si>
    <t>CGA021</t>
  </si>
  <si>
    <t>GAINFORT HAIR &amp; BEAUTY SUPPLIES</t>
  </si>
  <si>
    <t>CIN017</t>
  </si>
  <si>
    <t>INSTITUTE OF TECHNOLOGY CARLOW</t>
  </si>
  <si>
    <t>CME001</t>
  </si>
  <si>
    <t>Medicore Medical</t>
  </si>
  <si>
    <t>CHE053</t>
  </si>
  <si>
    <t>HEARTSAFETY SOLUTION</t>
  </si>
  <si>
    <t>CKI059</t>
  </si>
  <si>
    <t>KILKENNY LOCAL AUTHORITIES LEISURE</t>
  </si>
  <si>
    <t>CAR003</t>
  </si>
  <si>
    <t>ARMED EYE FILM PRODUCTION CO</t>
  </si>
  <si>
    <t>CTA045</t>
  </si>
  <si>
    <t>TAJ TAXIS LTD</t>
  </si>
  <si>
    <t>COA003</t>
  </si>
  <si>
    <t>Oaktrail Innovations Ltd</t>
  </si>
  <si>
    <t>CLA044</t>
  </si>
  <si>
    <t>LANGTON HOUSE HOTEL</t>
  </si>
  <si>
    <t>CHO007</t>
  </si>
  <si>
    <t>HORIZON SAFETY SYSTEMS</t>
  </si>
  <si>
    <t>CMO003</t>
  </si>
  <si>
    <t>MODERN PRINTERS LTD</t>
  </si>
  <si>
    <t>CMA452</t>
  </si>
  <si>
    <t>ACI SECURITY LTD</t>
  </si>
  <si>
    <t>CDO004</t>
  </si>
  <si>
    <t>THE WOODFORD DOLMEN HOTEL LTD.</t>
  </si>
  <si>
    <t>CAM010</t>
  </si>
  <si>
    <t>Amy Sheridan</t>
  </si>
  <si>
    <t>CDE070</t>
  </si>
  <si>
    <t>DEELEN LTD T/A DEEGAN'S CENTRA</t>
  </si>
  <si>
    <t>ALIVE OUTSIDE LTD</t>
  </si>
  <si>
    <t>CDE062</t>
  </si>
  <si>
    <t>PAT CODY/DES CODY ELECTRICAL</t>
  </si>
  <si>
    <t>CKI052</t>
  </si>
  <si>
    <t>KILKENNY ORMONDE HOTEL</t>
  </si>
  <si>
    <t>CIS001</t>
  </si>
  <si>
    <t>Isabelle Cartwright</t>
  </si>
  <si>
    <t>CDU011</t>
  </si>
  <si>
    <t>DUBLIN ZOO</t>
  </si>
  <si>
    <t>CCH031</t>
  </si>
  <si>
    <t>CHADWICKS LTD</t>
  </si>
  <si>
    <t>CCO005</t>
  </si>
  <si>
    <t>Communicative Marketing t/a Door to Door</t>
  </si>
  <si>
    <t>MUSGRAVE WATERFORD LTD</t>
  </si>
  <si>
    <t>CED014</t>
  </si>
  <si>
    <t>EDTECH</t>
  </si>
  <si>
    <t>CFR020</t>
  </si>
  <si>
    <t>Fred Archer &amp; Co</t>
  </si>
  <si>
    <t>CHE088</t>
  </si>
  <si>
    <t>CHE038</t>
  </si>
  <si>
    <t>HENNESSY SPORTS</t>
  </si>
  <si>
    <t>CTH173</t>
  </si>
  <si>
    <t>THREE IRELAND LIMITED</t>
  </si>
  <si>
    <t>CLO059</t>
  </si>
  <si>
    <t>LOREDO LTD</t>
  </si>
  <si>
    <t>CMI126</t>
  </si>
  <si>
    <t>MINDACLIENT</t>
  </si>
  <si>
    <t>CMI193</t>
  </si>
  <si>
    <t>MICHAEL J SCANNELL AND CO LTD</t>
  </si>
  <si>
    <t>COR014</t>
  </si>
  <si>
    <t>CHILDRENS THERAPY SERVICE</t>
  </si>
  <si>
    <t>CTR030</t>
  </si>
  <si>
    <t>Treeline Ltd</t>
  </si>
  <si>
    <t>CPO021</t>
  </si>
  <si>
    <t>PODIUM 4 SPORT LTD</t>
  </si>
  <si>
    <t>CLI001</t>
  </si>
  <si>
    <t>Limerick IT TUS</t>
  </si>
  <si>
    <t>CDE005</t>
  </si>
  <si>
    <t>Decathlon Sports Ireland Ltd</t>
  </si>
  <si>
    <t>CED001</t>
  </si>
  <si>
    <t>CDA062</t>
  </si>
  <si>
    <t>DANIEL AYLWARD</t>
  </si>
  <si>
    <t>CXE000</t>
  </si>
  <si>
    <t>XENON SECURITY SYSTEMS</t>
  </si>
  <si>
    <t>CBA077</t>
  </si>
  <si>
    <t>BARKER ARTS CENTRE T/A GARTER LANE ARTS</t>
  </si>
  <si>
    <t>CCL059</t>
  </si>
  <si>
    <t>CMI095</t>
  </si>
  <si>
    <t>MICHAEL CODY</t>
  </si>
  <si>
    <t>CHO006</t>
  </si>
  <si>
    <t>Home Instead</t>
  </si>
  <si>
    <t>CED066</t>
  </si>
  <si>
    <t>EDUCATIONAL RESEARCH CENTRE - TEST DEPARTMENT</t>
  </si>
  <si>
    <t>CCA199</t>
  </si>
  <si>
    <t>CAMPION MECHANICAL &amp; ELECTRICAL ENG. LTD. T/A CAMP</t>
  </si>
  <si>
    <t>Dublin Barista School</t>
  </si>
  <si>
    <t>CBA005</t>
  </si>
  <si>
    <t>Barry Morrissey's Limited</t>
  </si>
  <si>
    <t>CMI157</t>
  </si>
  <si>
    <t>MIDLAND GRASS MACHINERY</t>
  </si>
  <si>
    <t>CQU014</t>
  </si>
  <si>
    <t>QUALITY AND QUALIFICATIONS IRELAND</t>
  </si>
  <si>
    <t>CPE034</t>
  </si>
  <si>
    <t>PEDALHOUNDS</t>
  </si>
  <si>
    <t>CARLOW CAB SERVICE</t>
  </si>
  <si>
    <t>CCO043</t>
  </si>
  <si>
    <t>COPYMOORE LTD</t>
  </si>
  <si>
    <t>CBO027</t>
  </si>
  <si>
    <t>BOMAR LIMITED</t>
  </si>
  <si>
    <t>CSC002</t>
  </si>
  <si>
    <t>SCHINDLER IRELAND</t>
  </si>
  <si>
    <t>CDU014</t>
  </si>
  <si>
    <t>CIR004</t>
  </si>
  <si>
    <t>Irish National Stud Commercial Enterprise DAC</t>
  </si>
  <si>
    <t>CFI036</t>
  </si>
  <si>
    <t>FIRE SENTRY SYSTEMS LTD</t>
  </si>
  <si>
    <t>CHI005</t>
  </si>
  <si>
    <t>Higgins Furniture Hire Ltd</t>
  </si>
  <si>
    <t>CNO034</t>
  </si>
  <si>
    <t>NOLANS OF KILKENNY</t>
  </si>
  <si>
    <t>CPA004</t>
  </si>
  <si>
    <t>Pat O'Connor</t>
  </si>
  <si>
    <t>CMA009</t>
  </si>
  <si>
    <t>Marie Hayles</t>
  </si>
  <si>
    <t>CAL008</t>
  </si>
  <si>
    <t>Alison Ruschitzko</t>
  </si>
  <si>
    <t>CSH020</t>
  </si>
  <si>
    <t>Sharon Delahunty</t>
  </si>
  <si>
    <t>CTE005</t>
  </si>
  <si>
    <t>Teresa Doyle</t>
  </si>
  <si>
    <t>CSU000</t>
  </si>
  <si>
    <t>SUPERVALU</t>
  </si>
  <si>
    <t>CAR001</t>
  </si>
  <si>
    <t>ARTSCOPE</t>
  </si>
  <si>
    <t>CSA120</t>
  </si>
  <si>
    <t>SAFETECH CONSULTING  TRAINING LTD</t>
  </si>
  <si>
    <t>CDA001</t>
  </si>
  <si>
    <t>Dara White</t>
  </si>
  <si>
    <t>CDA108</t>
  </si>
  <si>
    <t>DAL RIADA TAVERNS</t>
  </si>
  <si>
    <t>CSU032</t>
  </si>
  <si>
    <t>CBE020</t>
  </si>
  <si>
    <t>SALLY SALON SERVICES LTD</t>
  </si>
  <si>
    <t>CWU000</t>
  </si>
  <si>
    <t>WURTH IRELAND LTD.</t>
  </si>
  <si>
    <t>CBA000</t>
  </si>
  <si>
    <t>WALSH'S HOMEVALUE</t>
  </si>
  <si>
    <t>CEM023</t>
  </si>
  <si>
    <t>EMO OIL</t>
  </si>
  <si>
    <t>CBA009</t>
  </si>
  <si>
    <t>BALLON BUSINESS &amp; TRAINING SERVICE</t>
  </si>
  <si>
    <t>CPS001</t>
  </si>
  <si>
    <t>PSYCHOMETRIX LTD.</t>
  </si>
  <si>
    <t>CAC009</t>
  </si>
  <si>
    <t>ACE BOILER SERVICES LTD</t>
  </si>
  <si>
    <t>COU001</t>
  </si>
  <si>
    <t>OUTSIDE THE BOX</t>
  </si>
  <si>
    <t>CSU046</t>
  </si>
  <si>
    <t>SUPERVALU (CEDARGLADE LTD)</t>
  </si>
  <si>
    <t>CEH000</t>
  </si>
  <si>
    <t>EHS ENGINEERING CONTRACTORS</t>
  </si>
  <si>
    <t>CVA000</t>
  </si>
  <si>
    <t>VALUE CENTRE</t>
  </si>
  <si>
    <t>CTR048</t>
  </si>
  <si>
    <t>TRAX MUSIC STORE LTD.</t>
  </si>
  <si>
    <t>CWS-BOCO IRELAND LTD</t>
  </si>
  <si>
    <t>CCA345</t>
  </si>
  <si>
    <t>CAMEO CINEMA LIMITED</t>
  </si>
  <si>
    <t>CFR025</t>
  </si>
  <si>
    <t>ST CANICES COMMUNITY ACTION  LTD</t>
  </si>
  <si>
    <t>CPU004</t>
  </si>
  <si>
    <t>PURE ADVENTURE</t>
  </si>
  <si>
    <t>CFE001</t>
  </si>
  <si>
    <t>FERMAN HEALTH &amp; SAFETY LTD</t>
  </si>
  <si>
    <t>CFI016</t>
  </si>
  <si>
    <t>CKI115</t>
  </si>
  <si>
    <t>KISH FISH</t>
  </si>
  <si>
    <t>CMA385</t>
  </si>
  <si>
    <t>MARGARET BOWEN</t>
  </si>
  <si>
    <t>My Greenhouse</t>
  </si>
  <si>
    <t>CDO049</t>
  </si>
  <si>
    <t>DORAN SUPERMARKETS LTD</t>
  </si>
  <si>
    <t>CGR029</t>
  </si>
  <si>
    <t>GRAIGNAMANAGH ABBEY HALL</t>
  </si>
  <si>
    <t>CPR026</t>
  </si>
  <si>
    <t>BEAMISH MARKETING T/A PRECISION BADGES</t>
  </si>
  <si>
    <t>CAE004</t>
  </si>
  <si>
    <t>AES</t>
  </si>
  <si>
    <t>CNA073</t>
  </si>
  <si>
    <t>NATIONAL REPTILE ZOO KILKENNY LTD</t>
  </si>
  <si>
    <t>HANNAGH FLEW/ALPHA BOUTIQUE</t>
  </si>
  <si>
    <t>CLI103</t>
  </si>
  <si>
    <t>LIGHTHOUSE LEARNING LIMITED T/A STUDYCLIX.IE</t>
  </si>
  <si>
    <t>CASTLECOMER ENTERPRISE CENTRE</t>
  </si>
  <si>
    <t>CVA025</t>
  </si>
  <si>
    <t>CAI060</t>
  </si>
  <si>
    <t>AIDAN CROMIE</t>
  </si>
  <si>
    <t>CVI025</t>
  </si>
  <si>
    <t>VIRGIN MEDIA IRELAND LTD</t>
  </si>
  <si>
    <t>CAI044</t>
  </si>
  <si>
    <t>AIRBASE MAKEUP</t>
  </si>
  <si>
    <t>CSI036</t>
  </si>
  <si>
    <t>SIGNIATEC LTD</t>
  </si>
  <si>
    <t>CAR023</t>
  </si>
  <si>
    <t>ARD EDUCATION LTD</t>
  </si>
  <si>
    <t>CCL045</t>
  </si>
  <si>
    <t>CLUBHOUSE HOTEL</t>
  </si>
  <si>
    <t>CEM021</t>
  </si>
  <si>
    <t>EMBER FIRE AND SAFETY LTD</t>
  </si>
  <si>
    <t>CAN016</t>
  </si>
  <si>
    <t>AN POST LICENCE SERVICES</t>
  </si>
  <si>
    <t>CJO021</t>
  </si>
  <si>
    <t>JOE MCKENNA LIMERICK LTD</t>
  </si>
  <si>
    <t>CCA022</t>
  </si>
  <si>
    <t>CARLOW CO COUNCIL</t>
  </si>
  <si>
    <t>CSH010</t>
  </si>
  <si>
    <t>Shona Ainsley</t>
  </si>
  <si>
    <t>CGR020</t>
  </si>
  <si>
    <t>GROGAN BURNER SERVICES LTD.</t>
  </si>
  <si>
    <t>CHA021</t>
  </si>
  <si>
    <t>HALL ALARMS LTD</t>
  </si>
  <si>
    <t>CMI009</t>
  </si>
  <si>
    <t>MICHAEL O'SHEA &amp; SON LTD</t>
  </si>
  <si>
    <t>CJU029</t>
  </si>
  <si>
    <t>JUMP ZONE LV LTD</t>
  </si>
  <si>
    <t>CAI000</t>
  </si>
  <si>
    <t>AIR PRODUCTS IRELAND LTD</t>
  </si>
  <si>
    <t>CTK000</t>
  </si>
  <si>
    <t>TK COURIERS LTD</t>
  </si>
  <si>
    <t>CJE016</t>
  </si>
  <si>
    <t>JERPOINT SHAVINGS</t>
  </si>
  <si>
    <t>NEOPOST IRELAND SERVICES LTD (QAUDIENT FINANCE )</t>
  </si>
  <si>
    <t>CSH001</t>
  </si>
  <si>
    <t>SHAW SCIENTIFIC &amp; CHEMICAL SUPPLIES LTD</t>
  </si>
  <si>
    <t>CCA326</t>
  </si>
  <si>
    <t>CARDLOGIC LTD</t>
  </si>
  <si>
    <t>DEEGAN FRESH PRODUCE LTD</t>
  </si>
  <si>
    <t>CNE019</t>
  </si>
  <si>
    <t>NED BUGGY SPORTS</t>
  </si>
  <si>
    <t>CFO026</t>
  </si>
  <si>
    <t>CCM000</t>
  </si>
  <si>
    <t>CM COMMUNITY SPORTS</t>
  </si>
  <si>
    <t>CMI097</t>
  </si>
  <si>
    <t>MICHAEL CORRWAY, FARRIER</t>
  </si>
  <si>
    <t>FLIGHT HAWK SECURITY LTD.</t>
  </si>
  <si>
    <t>CBO036</t>
  </si>
  <si>
    <t>BOSCO'S MEAT OUTLET LTD</t>
  </si>
  <si>
    <t>CCH005</t>
  </si>
  <si>
    <t>Christies Direct Ltd</t>
  </si>
  <si>
    <t>CJO140</t>
  </si>
  <si>
    <t>JOHN KAVANAGH HEATING &amp; PLUMBING LTD</t>
  </si>
  <si>
    <t>CST013</t>
  </si>
  <si>
    <t>CCO006</t>
  </si>
  <si>
    <t>Colmac Commerical equipment Ltd</t>
  </si>
  <si>
    <t>CTH137</t>
  </si>
  <si>
    <t>THE BOOK CENTRE-SCHOLARS</t>
  </si>
  <si>
    <t>CLE051</t>
  </si>
  <si>
    <t>LEIGHLIN PARISH CENTRE</t>
  </si>
  <si>
    <t>CED025</t>
  </si>
  <si>
    <t>CCO100</t>
  </si>
  <si>
    <t>Colaiste Chara</t>
  </si>
  <si>
    <t>CIN015</t>
  </si>
  <si>
    <t>John Brett t/a Inch Sawmills</t>
  </si>
  <si>
    <t>CSU002</t>
  </si>
  <si>
    <t>Suzy Byrne</t>
  </si>
  <si>
    <t>CARLOW GLASS LTD</t>
  </si>
  <si>
    <t>O'TOOLE CONSTRUCTION</t>
  </si>
  <si>
    <t>CES001</t>
  </si>
  <si>
    <t>ESSANESS MUSIC</t>
  </si>
  <si>
    <t>COB002</t>
  </si>
  <si>
    <t>O'BRIEN SCHOOL DIARIES</t>
  </si>
  <si>
    <t>CBR085</t>
  </si>
  <si>
    <t>BRANDON PLANT AND TOOL HIRE</t>
  </si>
  <si>
    <t>CWA053</t>
  </si>
  <si>
    <t>WAYFINDING AND SIGN SOLUTIONS LIMITED</t>
  </si>
  <si>
    <t>CSO016</t>
  </si>
  <si>
    <t>SOUTH EAST LEINSTER SCHOOLS ATHLETICS UNION</t>
  </si>
  <si>
    <t>CRA072</t>
  </si>
  <si>
    <t>RAPID TRAVEL LIMITED</t>
  </si>
  <si>
    <t>CCA053</t>
  </si>
  <si>
    <t>CARLOW FABRIC &amp; CRAFTS</t>
  </si>
  <si>
    <t>CCR040</t>
  </si>
  <si>
    <t>CRISIS PREVENTION</t>
  </si>
  <si>
    <t>CMO002</t>
  </si>
  <si>
    <t>Monika Skultinaite</t>
  </si>
  <si>
    <t>CME034</t>
  </si>
  <si>
    <t>FLASHPOINT SYSTEMS.IE</t>
  </si>
  <si>
    <t>COH001</t>
  </si>
  <si>
    <t>OHG JOHNSTOWN SHOP LTD.</t>
  </si>
  <si>
    <t>CAP002</t>
  </si>
  <si>
    <t>APEX FIRE LTD.</t>
  </si>
  <si>
    <t>CMI199</t>
  </si>
  <si>
    <t>MICHELLE O'BRIEN COUNSELLING &amp; PSYCHOTHERAPY</t>
  </si>
  <si>
    <t>CMO059</t>
  </si>
  <si>
    <t>Molly Dawson</t>
  </si>
  <si>
    <t>CSE102</t>
  </si>
  <si>
    <t>SEEFIN EVENTS LTD T/A KIPPURE ESTATE</t>
  </si>
  <si>
    <t>CCA251</t>
  </si>
  <si>
    <t>CMI049</t>
  </si>
  <si>
    <t>MICHAEL HOSEY</t>
  </si>
  <si>
    <t>CBE070</t>
  </si>
  <si>
    <t>BELMORE ELECTRICAL LTD</t>
  </si>
  <si>
    <t>CHI007</t>
  </si>
  <si>
    <t>HIGH ROCK PRODUCTIONS LTD</t>
  </si>
  <si>
    <t>CCA349</t>
  </si>
  <si>
    <t>CAMERA CENTRE LTD</t>
  </si>
  <si>
    <t>CM&amp;001</t>
  </si>
  <si>
    <t>M&amp;A COACHES</t>
  </si>
  <si>
    <t>CJJ001</t>
  </si>
  <si>
    <t>JJ's Hackney Service</t>
  </si>
  <si>
    <t>CGL029</t>
  </si>
  <si>
    <t>GLEESON STEEL AND ENG LTD</t>
  </si>
  <si>
    <t>CMA251</t>
  </si>
  <si>
    <t>MARY BUTLER</t>
  </si>
  <si>
    <t>CLO060</t>
  </si>
  <si>
    <t>LOETB MUSIC GENERATION LAOIS</t>
  </si>
  <si>
    <t>CMR025</t>
  </si>
  <si>
    <t>MRK (MORRISSEY REFRIGENATION KILKENNY)</t>
  </si>
  <si>
    <t>DCM Learning</t>
  </si>
  <si>
    <t>CEX004</t>
  </si>
  <si>
    <t>Exploration Dome</t>
  </si>
  <si>
    <t>CCI027</t>
  </si>
  <si>
    <t>CIDESCO SECTION IRELAND LTD</t>
  </si>
  <si>
    <t>CAI005</t>
  </si>
  <si>
    <t>AineMaire Ni Dhorain</t>
  </si>
  <si>
    <t>CLI151</t>
  </si>
  <si>
    <t>Liadain Kaminska</t>
  </si>
  <si>
    <t>CFA017</t>
  </si>
  <si>
    <t>FOOTBALL ASSOCIATION OF IRELAND</t>
  </si>
  <si>
    <t>CRO079</t>
  </si>
  <si>
    <t>ROSBERCON HALL AND SPORTS CENTRE</t>
  </si>
  <si>
    <t>CWO017</t>
  </si>
  <si>
    <t>WORD PERFECT TRANSLATION SERVICES</t>
  </si>
  <si>
    <t>CSE002</t>
  </si>
  <si>
    <t>Select Access Premier Solutions Ltd t/a</t>
  </si>
  <si>
    <t>CTH009</t>
  </si>
  <si>
    <t>THOMAS SUNDERLAND</t>
  </si>
  <si>
    <t>CAJ004</t>
  </si>
  <si>
    <t>AJ PRODUCTS (IRELAND) LTD</t>
  </si>
  <si>
    <t>CRO007</t>
  </si>
  <si>
    <t>Robert Seale Ltd., t/a One Photographic</t>
  </si>
  <si>
    <t>Sophie Treacy</t>
  </si>
  <si>
    <t>CALOR KOSANGAS</t>
  </si>
  <si>
    <t>CPA091</t>
  </si>
  <si>
    <t>CNO056</t>
  </si>
  <si>
    <t>NOLAN QUANTITY SURVEYORS T/A AIDAN NOLAN &amp; ASSOC</t>
  </si>
  <si>
    <t>CNI028</t>
  </si>
  <si>
    <t>NILMACK NILFISK LTD</t>
  </si>
  <si>
    <t>COF000</t>
  </si>
  <si>
    <t>OFFTECH LTD</t>
  </si>
  <si>
    <t>CAL015</t>
  </si>
  <si>
    <t>Alexandra Malone</t>
  </si>
  <si>
    <t>CTH224</t>
  </si>
  <si>
    <t>THE MOBILE MUSIC SCHOOL</t>
  </si>
  <si>
    <t>CEA033</t>
  </si>
  <si>
    <t>EASY FLOW SOLUTIONS</t>
  </si>
  <si>
    <t>CRD001</t>
  </si>
  <si>
    <t>RD PLUMBING AND HEATING</t>
  </si>
  <si>
    <t>CGA039</t>
  </si>
  <si>
    <t>GARVEY GAS AND OIL SERVICES</t>
  </si>
  <si>
    <t>CLA095</t>
  </si>
  <si>
    <t>LAWED LIMITED</t>
  </si>
  <si>
    <t>CPR038</t>
  </si>
  <si>
    <t>PROGAS LTD.</t>
  </si>
  <si>
    <t>CSJ001</t>
  </si>
  <si>
    <t>Sarah Jane Maher</t>
  </si>
  <si>
    <t>CLO001</t>
  </si>
  <si>
    <t>Locks and Hardware Ltd</t>
  </si>
  <si>
    <t>CKE010</t>
  </si>
  <si>
    <t>Kelron Health &amp; Safety</t>
  </si>
  <si>
    <t>CAM044</t>
  </si>
  <si>
    <t>AMPM SECURITY LTD T/A PM SECURITY</t>
  </si>
  <si>
    <t>CSE010</t>
  </si>
  <si>
    <t>Seamus Cannon</t>
  </si>
  <si>
    <t>CPA133</t>
  </si>
  <si>
    <t>PAULS LTD</t>
  </si>
  <si>
    <t>The Haven Clinic</t>
  </si>
  <si>
    <t>CEV010</t>
  </si>
  <si>
    <t>Evcom Consulting Ltd.,</t>
  </si>
  <si>
    <t>MEATH SPRINGBOARD</t>
  </si>
  <si>
    <t>COS001</t>
  </si>
  <si>
    <t>O'Sullivan Solutions</t>
  </si>
  <si>
    <t>ETC CONSULT</t>
  </si>
  <si>
    <t>CDG002</t>
  </si>
  <si>
    <t>DGM PHOTOGRAPHIC</t>
  </si>
  <si>
    <t>COR011</t>
  </si>
  <si>
    <t>TRADE ELECTRIC (KILKENNY) LTD</t>
  </si>
  <si>
    <t>CCE008</t>
  </si>
  <si>
    <t>Celebrate It</t>
  </si>
  <si>
    <t>CCA350</t>
  </si>
  <si>
    <t>CARDIAC SERVICES</t>
  </si>
  <si>
    <t>CTE042</t>
  </si>
  <si>
    <t>TECHNOLOGY FIRST LTD T/A IT QUOTES</t>
  </si>
  <si>
    <t>Costigan Agri Ltd</t>
  </si>
  <si>
    <t>CGL014</t>
  </si>
  <si>
    <t>GLASNEVIN CEMETERIES TRUST</t>
  </si>
  <si>
    <t>CEA041</t>
  </si>
  <si>
    <t>EASE</t>
  </si>
  <si>
    <t>CCH002</t>
  </si>
  <si>
    <t>Cheetah Electronics Ltd</t>
  </si>
  <si>
    <t>CIN048</t>
  </si>
  <si>
    <t>INSPIRELAND LTD</t>
  </si>
  <si>
    <t>CMA265</t>
  </si>
  <si>
    <t>MEUBLES</t>
  </si>
  <si>
    <t>CMI070</t>
  </si>
  <si>
    <t>MICHAEL BROPHY PHOTOGRAPHY</t>
  </si>
  <si>
    <t>CED053</t>
  </si>
  <si>
    <t>EDHHD TRADING LTD T/A IRISH ELECTRONICS</t>
  </si>
  <si>
    <t>CVI000</t>
  </si>
  <si>
    <t>VIKING DIRECT</t>
  </si>
  <si>
    <t>TOP SECURITY</t>
  </si>
  <si>
    <t>Swimworld</t>
  </si>
  <si>
    <t>DEMPSEY HARDWARE</t>
  </si>
  <si>
    <t>CAF001</t>
  </si>
  <si>
    <t>Afro-Eire</t>
  </si>
  <si>
    <t>CRA030</t>
  </si>
  <si>
    <t>COMMUNITY RADIO KILKENNY CITY</t>
  </si>
  <si>
    <t>CWE013</t>
  </si>
  <si>
    <t>WELLTEL IRELAND LTD</t>
  </si>
  <si>
    <t>CCM001</t>
  </si>
  <si>
    <t>CM SIGNS LTD</t>
  </si>
  <si>
    <t>ELITE SAFETYTEC LTD</t>
  </si>
  <si>
    <t>CTA004</t>
  </si>
  <si>
    <t>TALBOT HOTEL</t>
  </si>
  <si>
    <t>TARA 365 LEARNING LTD.</t>
  </si>
  <si>
    <t>CAN102</t>
  </si>
  <si>
    <t>ANDY RAMSBOTTOM</t>
  </si>
  <si>
    <t>CDC005</t>
  </si>
  <si>
    <t>DCG Solutionns Publishing Ltd</t>
  </si>
  <si>
    <t>CIL002</t>
  </si>
  <si>
    <t>ILLE PAPER SERVICE (IRL) LTD</t>
  </si>
  <si>
    <t>CIR023</t>
  </si>
  <si>
    <t>CBA049</t>
  </si>
  <si>
    <t>BARRONS SPORTS</t>
  </si>
  <si>
    <t>CGA049</t>
  </si>
  <si>
    <t>GAVIN BARR</t>
  </si>
  <si>
    <t>CJA006</t>
  </si>
  <si>
    <t>James Healy (Brass Founders - Engineers) Ltd.,</t>
  </si>
  <si>
    <t>CFR048</t>
  </si>
  <si>
    <t>FRESH'N UP 2468 LTD</t>
  </si>
  <si>
    <t>CTH199</t>
  </si>
  <si>
    <t>THE UPPING COMPANY</t>
  </si>
  <si>
    <t>CVI032</t>
  </si>
  <si>
    <t>VIATEL IRELAND LTD</t>
  </si>
  <si>
    <t>CSH003</t>
  </si>
  <si>
    <t>Shannon Heritage DAC</t>
  </si>
  <si>
    <t>CTH008</t>
  </si>
  <si>
    <t>The Prime Agency</t>
  </si>
  <si>
    <t>CEC001</t>
  </si>
  <si>
    <t>ECOLAB LTD (ROI)</t>
  </si>
  <si>
    <t>CFR005</t>
  </si>
  <si>
    <t>Francis Kavanagh (Eilish Kavanagh Refund)</t>
  </si>
  <si>
    <t>CDA002</t>
  </si>
  <si>
    <t>Darren Crowe</t>
  </si>
  <si>
    <t>CAS037</t>
  </si>
  <si>
    <t>ASSOCIATION OF IRISH RIDING ESTABLISHMENTS (AIRE)</t>
  </si>
  <si>
    <t>CCI005</t>
  </si>
  <si>
    <t>Ciaran Curran (Refund)</t>
  </si>
  <si>
    <t>Liam Butler</t>
  </si>
  <si>
    <t>CSH002</t>
  </si>
  <si>
    <t>Shane Giltrap</t>
  </si>
  <si>
    <t>CSA009</t>
  </si>
  <si>
    <t>Saoirse Karadag</t>
  </si>
  <si>
    <t>CEA000</t>
  </si>
  <si>
    <t>EAMONN NOLAN &amp; SONS</t>
  </si>
  <si>
    <t>CEM025</t>
  </si>
  <si>
    <t>EMERALD TILES LTD</t>
  </si>
  <si>
    <t>CSE051</t>
  </si>
  <si>
    <t>SEAMUS BARRY</t>
  </si>
  <si>
    <t>CCR001</t>
  </si>
  <si>
    <t>Craig Matthews t/a Valuecoms</t>
  </si>
  <si>
    <t>CAX001</t>
  </si>
  <si>
    <t>Axe Junkies</t>
  </si>
  <si>
    <t>CDO065</t>
  </si>
  <si>
    <t>DOGS FIRST LTD</t>
  </si>
  <si>
    <t>CPE049</t>
  </si>
  <si>
    <t>PETER O'BRIEN T/A TELACAB TAXI SERVICE</t>
  </si>
  <si>
    <t>CSU041</t>
  </si>
  <si>
    <t>SUPREME FITNESS</t>
  </si>
  <si>
    <t>G4S MONITORING (IRE) LIMITED</t>
  </si>
  <si>
    <t>CCL068</t>
  </si>
  <si>
    <t>CLEMENT FITZPATRICK</t>
  </si>
  <si>
    <t>CCL095</t>
  </si>
  <si>
    <t>CLEERE SPORTS</t>
  </si>
  <si>
    <t>CBR071</t>
  </si>
  <si>
    <t>BRIAN EGAN</t>
  </si>
  <si>
    <t>CDE126</t>
  </si>
  <si>
    <t>DEREK FAGAN</t>
  </si>
  <si>
    <t>CDE093</t>
  </si>
  <si>
    <t>DECLAN FOLEY</t>
  </si>
  <si>
    <t>CEU017</t>
  </si>
  <si>
    <t>EUGENE GRACE</t>
  </si>
  <si>
    <t>CPA149</t>
  </si>
  <si>
    <t>PAUL MCDONALD</t>
  </si>
  <si>
    <t>CPH030</t>
  </si>
  <si>
    <t>PHONELINK SECURITY</t>
  </si>
  <si>
    <t>CPA259</t>
  </si>
  <si>
    <t>PAUL GROGAN</t>
  </si>
  <si>
    <t>COL021</t>
  </si>
  <si>
    <t>OLIVER DOLLARD</t>
  </si>
  <si>
    <t>CMI177</t>
  </si>
  <si>
    <t>MICHAEL MORTON</t>
  </si>
  <si>
    <t>CMA261</t>
  </si>
  <si>
    <t>MARY SHASBY</t>
  </si>
  <si>
    <t>CJO133</t>
  </si>
  <si>
    <t>JOHN FOLEY</t>
  </si>
  <si>
    <t>CJA075</t>
  </si>
  <si>
    <t>JAMES COLEMAN</t>
  </si>
  <si>
    <t>CJI015</t>
  </si>
  <si>
    <t>JIM DELANEY</t>
  </si>
  <si>
    <t>CGE020</t>
  </si>
  <si>
    <t>George McMahon</t>
  </si>
  <si>
    <t>CTH006</t>
  </si>
  <si>
    <t>The Fermentary</t>
  </si>
  <si>
    <t>CRO046</t>
  </si>
  <si>
    <t>ROBERT HEARNE1</t>
  </si>
  <si>
    <t>CWA043</t>
  </si>
  <si>
    <t>WATERFORD GREENWAY CYCLE TOURS</t>
  </si>
  <si>
    <t>WALTER DOYLE</t>
  </si>
  <si>
    <t>CWI047</t>
  </si>
  <si>
    <t>WILLIAM O MARA</t>
  </si>
  <si>
    <t>CWA005</t>
  </si>
  <si>
    <t>The Watergate Theatre Co. Ltd</t>
  </si>
  <si>
    <t>CJA134</t>
  </si>
  <si>
    <t>JAMES CORCORAN</t>
  </si>
  <si>
    <t>CCH033</t>
  </si>
  <si>
    <t>CHRISTINE MCGRATH</t>
  </si>
  <si>
    <t>CGA022</t>
  </si>
  <si>
    <t>GAISCE THE PRESIDENTS AWARD</t>
  </si>
  <si>
    <t>CWO015</t>
  </si>
  <si>
    <t>CSE004</t>
  </si>
  <si>
    <t>Self Help Africa (Worldwise Global Schools)</t>
  </si>
  <si>
    <t>CJO160</t>
  </si>
  <si>
    <t>JOHN NOLAN</t>
  </si>
  <si>
    <t>CHO016</t>
  </si>
  <si>
    <t>HOTEL KILKENNY</t>
  </si>
  <si>
    <t>CTH210</t>
  </si>
  <si>
    <t>THE GREENWAY MAN BIKE HIRE &amp; CYCLE TOURS</t>
  </si>
  <si>
    <t>CMA444</t>
  </si>
  <si>
    <t>MAHER QUARRIES LTD</t>
  </si>
  <si>
    <t>CCR041</t>
  </si>
  <si>
    <t>CRITICAL HEALTHCARE LTD</t>
  </si>
  <si>
    <t>CJJ003</t>
  </si>
  <si>
    <t>J&amp;J SERVICES LTD</t>
  </si>
  <si>
    <t>CGE040</t>
  </si>
  <si>
    <t>GERALDINE COOPER</t>
  </si>
  <si>
    <t>Inga Gece</t>
  </si>
  <si>
    <t>CJE010</t>
  </si>
  <si>
    <t>Jessica Darcy</t>
  </si>
  <si>
    <t>CRO010</t>
  </si>
  <si>
    <t>Ross Meredith</t>
  </si>
  <si>
    <t>CTH189</t>
  </si>
  <si>
    <t>THE VILLAGE DAIRY LTD</t>
  </si>
  <si>
    <t>CWH011</t>
  </si>
  <si>
    <t>WHITE CASTLE STUDIO LTD T/A BCR IRELAND</t>
  </si>
  <si>
    <t>CLU000</t>
  </si>
  <si>
    <t>Luke Byrne</t>
  </si>
  <si>
    <t>CNI006</t>
  </si>
  <si>
    <t>Niamh Malone</t>
  </si>
  <si>
    <t>CNE005</t>
  </si>
  <si>
    <t>Nevora Ltd  (Four Star Pizza Kilkenny)</t>
  </si>
  <si>
    <t>CPA239</t>
  </si>
  <si>
    <t>PADDY CALLAGHAN</t>
  </si>
  <si>
    <t>CCO003</t>
  </si>
  <si>
    <t>Conor O'Neill</t>
  </si>
  <si>
    <t>CVI022</t>
  </si>
  <si>
    <t>VITAL IT LTD</t>
  </si>
  <si>
    <t>CSS000</t>
  </si>
  <si>
    <t>S-SECURITY GROUP LTD.</t>
  </si>
  <si>
    <t>CBO017</t>
  </si>
  <si>
    <t>BORD GAIS</t>
  </si>
  <si>
    <t>CFI031</t>
  </si>
  <si>
    <t>FINE FRAMERS</t>
  </si>
  <si>
    <t>CBA042</t>
  </si>
  <si>
    <t>BARKER PHOTOGRAPHIC LTD</t>
  </si>
  <si>
    <t>CDH000</t>
  </si>
  <si>
    <t>DH MILK SUPPLIES</t>
  </si>
  <si>
    <t>CLA091</t>
  </si>
  <si>
    <t>LAWNMOWER SERVICE AND REPAIRS</t>
  </si>
  <si>
    <t>CMO022</t>
  </si>
  <si>
    <t>IAN MORRISSEY (SHOP)</t>
  </si>
  <si>
    <t>CTE015</t>
  </si>
  <si>
    <t>TEACH BHRIDE</t>
  </si>
  <si>
    <t>CRE060</t>
  </si>
  <si>
    <t>RECHARGE KILKENNY</t>
  </si>
  <si>
    <t>CYO002</t>
  </si>
  <si>
    <t>YOUNG SOCIAL INNOVATORS</t>
  </si>
  <si>
    <t>CMA002</t>
  </si>
  <si>
    <t>Margareta Pionk</t>
  </si>
  <si>
    <t>CKA009</t>
  </si>
  <si>
    <t>Kayla Whelan O'Regan</t>
  </si>
  <si>
    <t>CJO003</t>
  </si>
  <si>
    <t>John James Travers</t>
  </si>
  <si>
    <t>CCI001</t>
  </si>
  <si>
    <t>Cian Brennan</t>
  </si>
  <si>
    <t>RADIUS TELECOM</t>
  </si>
  <si>
    <t>CCR015</t>
  </si>
  <si>
    <t>CRIMEWATCH MONITORING SERVICES</t>
  </si>
  <si>
    <t>CCY001</t>
  </si>
  <si>
    <t>Cyber Safe Ireland CLG</t>
  </si>
  <si>
    <t>CCO114</t>
  </si>
  <si>
    <t>COLM RICE</t>
  </si>
  <si>
    <t>CFL019</t>
  </si>
  <si>
    <t>FLEXTIME LIMITED</t>
  </si>
  <si>
    <t>CPI008</t>
  </si>
  <si>
    <t>PITNEY BOWES FINANCE IRELAND (LEASE)</t>
  </si>
  <si>
    <t>JOE BUTLER</t>
  </si>
  <si>
    <t>CKY004</t>
  </si>
  <si>
    <t>Kylie Walsh</t>
  </si>
  <si>
    <t>CSA020</t>
  </si>
  <si>
    <t>Sarah Cranny</t>
  </si>
  <si>
    <t>CBR123</t>
  </si>
  <si>
    <t>BRODMAC LTD</t>
  </si>
  <si>
    <t>CAN185</t>
  </si>
  <si>
    <t>ANN PRENDERGAST</t>
  </si>
  <si>
    <t>CDE003</t>
  </si>
  <si>
    <t>DEYCOM COMP SERVICES</t>
  </si>
  <si>
    <t>CHO022</t>
  </si>
  <si>
    <t>PROTOCOL INTERNET TECHCOLOGY T/A HOSTING IRELAND</t>
  </si>
  <si>
    <t>CFR032</t>
  </si>
  <si>
    <t>FREEDOM SURF SCHOOL &amp; ADVENTURE</t>
  </si>
  <si>
    <t>CKI079</t>
  </si>
  <si>
    <t>KILKENNY VOLUNTARY BODIES LTD</t>
  </si>
  <si>
    <t>CEL010</t>
  </si>
  <si>
    <t>Ellen Fenton</t>
  </si>
  <si>
    <t>CEI030</t>
  </si>
  <si>
    <t>EIRE OG CLG</t>
  </si>
  <si>
    <t>CAN001</t>
  </si>
  <si>
    <t>Ann Quigley Kelly</t>
  </si>
  <si>
    <t>CBE073</t>
  </si>
  <si>
    <t>BEIBHINN THORSCH</t>
  </si>
  <si>
    <t>CTI001</t>
  </si>
  <si>
    <t>Tiarnán Marum</t>
  </si>
  <si>
    <t>CFL011</t>
  </si>
  <si>
    <t>FLOWERS BY LUCY</t>
  </si>
  <si>
    <t>CMU016</t>
  </si>
  <si>
    <t>MUNSTER EXPRESS LTD</t>
  </si>
  <si>
    <t>EDUCOOT</t>
  </si>
  <si>
    <t>IDENTITY PLASTIC PRINT (T/A IDENTITY)</t>
  </si>
  <si>
    <t>CPR034</t>
  </si>
  <si>
    <t>PROMED</t>
  </si>
  <si>
    <t>CJE015</t>
  </si>
  <si>
    <t>JERRY FOGARTY</t>
  </si>
  <si>
    <t>CTO004</t>
  </si>
  <si>
    <t>Tony Sinnott t/a Flagman.ie</t>
  </si>
  <si>
    <t>CLA002</t>
  </si>
  <si>
    <t>BRIARCROFT LTD</t>
  </si>
  <si>
    <t>CMO004</t>
  </si>
  <si>
    <t>Motivational Interviewing Training Ireland</t>
  </si>
  <si>
    <t>CRE005</t>
  </si>
  <si>
    <t>Recognition Express</t>
  </si>
  <si>
    <t>CIP003</t>
  </si>
  <si>
    <t>IP TELECOM</t>
  </si>
  <si>
    <t>CCR037</t>
  </si>
  <si>
    <t>CRYSTAL CLEAR SPRINGS ENTERPRISES LTD</t>
  </si>
  <si>
    <t>CKB000</t>
  </si>
  <si>
    <t>KILKENNY BOWL</t>
  </si>
  <si>
    <t>CIR001</t>
  </si>
  <si>
    <t>Irish Mathematics Teachers Association</t>
  </si>
  <si>
    <t>CJA005</t>
  </si>
  <si>
    <t>JACINTA O TOOLE</t>
  </si>
  <si>
    <t>CHY001</t>
  </si>
  <si>
    <t>Hyperlink t/a Activelink</t>
  </si>
  <si>
    <t>CFR023</t>
  </si>
  <si>
    <t>FRANK COMMINS PLUMBING &amp; HEATING LTD</t>
  </si>
  <si>
    <t>CAH001</t>
  </si>
  <si>
    <t>AHERN FUELS</t>
  </si>
  <si>
    <t>CKS002</t>
  </si>
  <si>
    <t>WILLIAM KINSELLA LTD T/A K SPORT</t>
  </si>
  <si>
    <t>CEF002</t>
  </si>
  <si>
    <t>CBT002</t>
  </si>
  <si>
    <t>BT IRELAND</t>
  </si>
  <si>
    <t>CSO010</t>
  </si>
  <si>
    <t>SOLAR SIGNS AND GRAPHICS</t>
  </si>
  <si>
    <t>CFA004</t>
  </si>
  <si>
    <t>FAI SCHOOLS (LEINSTER BRANCH)</t>
  </si>
  <si>
    <t>CSO007</t>
  </si>
  <si>
    <t>SOLACE COUNSELLING &amp; THERAPY</t>
  </si>
  <si>
    <t>CDU015</t>
  </si>
  <si>
    <t>DUNPHYS SUPERMARKET</t>
  </si>
  <si>
    <t>CMU001</t>
  </si>
  <si>
    <t>Music Generation Louth</t>
  </si>
  <si>
    <t>CNO024</t>
  </si>
  <si>
    <t>NORE VALLEY PARK</t>
  </si>
  <si>
    <t>BLANCHFIELD MECHANICAL MAINTENANCE LTD</t>
  </si>
  <si>
    <t>CWA001</t>
  </si>
  <si>
    <t>Waterford Muay Thai</t>
  </si>
  <si>
    <t>CCO144</t>
  </si>
  <si>
    <t>COUGHLAN GARDEN EQUIPMENT (KILKENNY) LTD.</t>
  </si>
  <si>
    <t>CPR047</t>
  </si>
  <si>
    <t>COLAISTE COIS SIUIRE SCHOOL ACCOUNT</t>
  </si>
  <si>
    <t>CSE005</t>
  </si>
  <si>
    <t>Seachtain na Gaeilge</t>
  </si>
  <si>
    <t>CSH009</t>
  </si>
  <si>
    <t>Shaun Geoghegan (Refund)</t>
  </si>
  <si>
    <t>CVO005</t>
  </si>
  <si>
    <t>TRAVELLERS VOICE MAGAZINE</t>
  </si>
  <si>
    <t>CCH014</t>
  </si>
  <si>
    <t>CHRIS JACKSON</t>
  </si>
  <si>
    <t>COL001</t>
  </si>
  <si>
    <t>Oluwatomi Sikir-Laih Omoola</t>
  </si>
  <si>
    <t>COR031</t>
  </si>
  <si>
    <t>ORNA MURRAY</t>
  </si>
  <si>
    <t>CMA483</t>
  </si>
  <si>
    <t>MAURA COTTRELL</t>
  </si>
  <si>
    <t>CGI006</t>
  </si>
  <si>
    <t>GIBBONS REMOVALS &amp; STORAGE</t>
  </si>
  <si>
    <t>CLY004</t>
  </si>
  <si>
    <t>LYONS GROUP SECURITY</t>
  </si>
  <si>
    <t>CPC003</t>
  </si>
  <si>
    <t>PC PERIPHERALS</t>
  </si>
  <si>
    <t>CLA094</t>
  </si>
  <si>
    <t>LAURA FITZPATRICK</t>
  </si>
  <si>
    <t>CSH061</t>
  </si>
  <si>
    <t>SHERWOODS1</t>
  </si>
  <si>
    <t>CCO132</t>
  </si>
  <si>
    <t>COYNE GLASS AND GLAZING</t>
  </si>
  <si>
    <t>CSE001</t>
  </si>
  <si>
    <t>S &amp; E Kennedy &amp; Co. Ltd</t>
  </si>
  <si>
    <t>Martha Bolger</t>
  </si>
  <si>
    <t>CCA348</t>
  </si>
  <si>
    <t>CARL STUART LTD</t>
  </si>
  <si>
    <t>CBA036</t>
  </si>
  <si>
    <t>BARRON FIRE &amp; FIRE SAFETY LTD.</t>
  </si>
  <si>
    <t>CDA112</t>
  </si>
  <si>
    <t>DAN FENLON HEATING &amp; PLUMBING LTD</t>
  </si>
  <si>
    <t>CSI037</t>
  </si>
  <si>
    <t>SIREN SECURITY LTD</t>
  </si>
  <si>
    <t>CHU000</t>
  </si>
  <si>
    <t>HUNT OFFICE.IE</t>
  </si>
  <si>
    <t>CMI116</t>
  </si>
  <si>
    <t>MICHAEL BLACK</t>
  </si>
  <si>
    <t>CSA030</t>
  </si>
  <si>
    <t>CMI102</t>
  </si>
  <si>
    <t>MILL FAMILY RESOURCE CENTRE</t>
  </si>
  <si>
    <t>CBO045</t>
  </si>
  <si>
    <t>BOWER BARCOE PEST CONTROL &amp; WASHROOM SERVICES</t>
  </si>
  <si>
    <t>CJO220</t>
  </si>
  <si>
    <t>JOHN HEARN HARDWARE LTD</t>
  </si>
  <si>
    <t>CJA003</t>
  </si>
  <si>
    <t>Jack Walker (student Refund)</t>
  </si>
  <si>
    <t>CMA051</t>
  </si>
  <si>
    <t>MARION HAUGHNEY</t>
  </si>
  <si>
    <t>CRA000</t>
  </si>
  <si>
    <t>RAY WHELAN LTD</t>
  </si>
  <si>
    <t>CSV002</t>
  </si>
  <si>
    <t>S-VAX LTD</t>
  </si>
  <si>
    <t>CCH001</t>
  </si>
  <si>
    <t>CHLEO PROFESSIONAL LTD</t>
  </si>
  <si>
    <t>CSH035</t>
  </si>
  <si>
    <t>SHERCOM LTD.</t>
  </si>
  <si>
    <t>CAC015</t>
  </si>
  <si>
    <t>ACCESS PLASTICS LTD</t>
  </si>
  <si>
    <t>CMM002</t>
  </si>
  <si>
    <t>MMI GROUP</t>
  </si>
  <si>
    <t>CBA052</t>
  </si>
  <si>
    <t>BARROW AUTOMATION LIMITED</t>
  </si>
  <si>
    <t>CDU018</t>
  </si>
  <si>
    <t>Dunnes Garden Centre</t>
  </si>
  <si>
    <t>COI000</t>
  </si>
  <si>
    <t>OIL &amp; GAS BOILER SERVICES</t>
  </si>
  <si>
    <t>CCO008</t>
  </si>
  <si>
    <t>COUGHLAN GARDEN EQUIPMENT (CARLOW)</t>
  </si>
  <si>
    <t>CCA218</t>
  </si>
  <si>
    <t>CAMPION PICTURE FRAMING</t>
  </si>
  <si>
    <t>B NOLAN DISTRIBUTION LIMITED</t>
  </si>
  <si>
    <t>CMI188</t>
  </si>
  <si>
    <t>MIRIAM O'DONOGHUE EDUCATION SERVICES LTD</t>
  </si>
  <si>
    <t>CMA213</t>
  </si>
  <si>
    <t>MARY LYNG</t>
  </si>
  <si>
    <t>CSA108</t>
  </si>
  <si>
    <t>SAFETY SOLUTIONS SKILLNET LTD</t>
  </si>
  <si>
    <t>CWA015</t>
  </si>
  <si>
    <t>Waterford &amp; East Munster Schools Athletic Assoc</t>
  </si>
  <si>
    <t>CLI020</t>
  </si>
  <si>
    <t>Lisa Harding</t>
  </si>
  <si>
    <t>CMI178</t>
  </si>
  <si>
    <t>MICHELLE JEFFORD</t>
  </si>
  <si>
    <t>CNA001</t>
  </si>
  <si>
    <t>CGI010</t>
  </si>
  <si>
    <t>GIFT VOUCHER SHOP</t>
  </si>
  <si>
    <t>CGA026</t>
  </si>
  <si>
    <t>GAELSCOILEANNA</t>
  </si>
  <si>
    <t>CLE004</t>
  </si>
  <si>
    <t>Leinster Hockey Association CLG</t>
  </si>
  <si>
    <t>CCA015</t>
  </si>
  <si>
    <t>Caoimhe Byrne</t>
  </si>
  <si>
    <t>CCA008</t>
  </si>
  <si>
    <t>Cathy Tallon (Refund)</t>
  </si>
  <si>
    <t>CEN000</t>
  </si>
  <si>
    <t>EPT LTD</t>
  </si>
  <si>
    <t>CCA012</t>
  </si>
  <si>
    <t>Carlow Express Freight</t>
  </si>
  <si>
    <t>CSH125</t>
  </si>
  <si>
    <t>SHANE FALLON</t>
  </si>
  <si>
    <t>CST090</t>
  </si>
  <si>
    <t>STANFLEX LTD T/A ORANGE CAFE</t>
  </si>
  <si>
    <t>CTH089</t>
  </si>
  <si>
    <t>THE BOOK CENTRE</t>
  </si>
  <si>
    <t>CKA057</t>
  </si>
  <si>
    <t>KABEYUN</t>
  </si>
  <si>
    <t>CBL005</t>
  </si>
  <si>
    <t>BLACKNIGHT INTERNET SOLUTIONS LTD.</t>
  </si>
  <si>
    <t>CIR002</t>
  </si>
  <si>
    <t>Irish Sport HQ</t>
  </si>
  <si>
    <t>CMI124</t>
  </si>
  <si>
    <t>MIDLAND MILK TRADERS</t>
  </si>
  <si>
    <t>CAR032</t>
  </si>
  <si>
    <t>ARTHURS COURT LTD UNIFORM WORLD</t>
  </si>
  <si>
    <t>CMC044</t>
  </si>
  <si>
    <t>MCGAGH TYRES</t>
  </si>
  <si>
    <t>CMI098</t>
  </si>
  <si>
    <t>MICHAEL CALLANAN  &amp; SONS LTD</t>
  </si>
  <si>
    <t>CRI014</t>
  </si>
  <si>
    <t>RICHARD P BRENNAN-THOMASTOWN VET CLINIC</t>
  </si>
  <si>
    <t>CSI035</t>
  </si>
  <si>
    <t>SIMON TREACY HARDWARE</t>
  </si>
  <si>
    <t>CDG003</t>
  </si>
  <si>
    <t>DGD SHREDDING</t>
  </si>
  <si>
    <t>CPH026</t>
  </si>
  <si>
    <t>PHILIP BRENNAN</t>
  </si>
  <si>
    <t>CIR075</t>
  </si>
  <si>
    <t>IRISH YOUTH OFFICERS ASSOCIATION</t>
  </si>
  <si>
    <t>CWI038</t>
  </si>
  <si>
    <t>WIT DIVERSE CAMPUS SERVICES T/A SPORTS CAMPUS</t>
  </si>
  <si>
    <t>CCU016</t>
  </si>
  <si>
    <t>CUDDIHY WINDOW &amp; DOORS SERVICES</t>
  </si>
  <si>
    <t>CIO001</t>
  </si>
  <si>
    <t>Ionela Almeida</t>
  </si>
  <si>
    <t>CHA004</t>
  </si>
  <si>
    <t>Habiba Miah</t>
  </si>
  <si>
    <t>CKA002</t>
  </si>
  <si>
    <t>Katie Mernagh</t>
  </si>
  <si>
    <t>CMI008</t>
  </si>
  <si>
    <t>Mia Neville</t>
  </si>
  <si>
    <t>CMA004</t>
  </si>
  <si>
    <t>Mark Carroll</t>
  </si>
  <si>
    <t>CRA005</t>
  </si>
  <si>
    <t>Rachel Farrell</t>
  </si>
  <si>
    <t>CSH005</t>
  </si>
  <si>
    <t>Shannon O'Toole</t>
  </si>
  <si>
    <t>CCA299</t>
  </si>
  <si>
    <t>CARLOW CASH REGISTERS LTD. T/A THE OFFICE CENTRE</t>
  </si>
  <si>
    <t>CDE004</t>
  </si>
  <si>
    <t>DELL COMPUTER (IRELAND)</t>
  </si>
  <si>
    <t>CVI001</t>
  </si>
  <si>
    <t>Vicky's Photography</t>
  </si>
  <si>
    <t>Victoria Murphy (Mia Carlin) Refund</t>
  </si>
  <si>
    <t>SWANS ELECTRICAL</t>
  </si>
  <si>
    <t>CKE059</t>
  </si>
  <si>
    <t>KEN O'SHEA</t>
  </si>
  <si>
    <t>CPA202</t>
  </si>
  <si>
    <t>PAMELAN LANIGAN</t>
  </si>
  <si>
    <t>CSI069</t>
  </si>
  <si>
    <t>SINEAD BLANCHFIELD</t>
  </si>
  <si>
    <t>CJO125</t>
  </si>
  <si>
    <t>JOHN BOWDEN HARDWARE</t>
  </si>
  <si>
    <t>CKA006</t>
  </si>
  <si>
    <t>Kathleen Brennan Refund</t>
  </si>
  <si>
    <t>CGR010</t>
  </si>
  <si>
    <t>Grzegorz Sykula  (Magdalena Refund)</t>
  </si>
  <si>
    <t>CGE015</t>
  </si>
  <si>
    <t>Gemma Kelly (refund)</t>
  </si>
  <si>
    <t>CCO205</t>
  </si>
  <si>
    <t>COOLANOWLE ORGANICS LTD</t>
  </si>
  <si>
    <t>CBR004</t>
  </si>
  <si>
    <t>Brigid Walsh  (Refund)</t>
  </si>
  <si>
    <t>CCA017</t>
  </si>
  <si>
    <t>CARLOW FLORIST</t>
  </si>
  <si>
    <t>CCA153</t>
  </si>
  <si>
    <t>CARLOW ARTS CENTRE LTD (VISUAL)</t>
  </si>
  <si>
    <t>CAF002</t>
  </si>
  <si>
    <t>Afolake-Alliu (Nelson-Okeyemi Refund)</t>
  </si>
  <si>
    <t>CSH006</t>
  </si>
  <si>
    <t>Shane Lawlor</t>
  </si>
  <si>
    <t>CSI030</t>
  </si>
  <si>
    <t>Siobhan Graham (Ronan Refund)</t>
  </si>
  <si>
    <t>CVI013</t>
  </si>
  <si>
    <t>VINCENT DOHENY</t>
  </si>
  <si>
    <t>CWI010</t>
  </si>
  <si>
    <t>Wing Hung Kwong (Courtney Refund)</t>
  </si>
  <si>
    <t>CMA297</t>
  </si>
  <si>
    <t>M.A. MCCULLAGH LTD</t>
  </si>
  <si>
    <t>CCO112</t>
  </si>
  <si>
    <t>CONNS CAMERAS</t>
  </si>
  <si>
    <t>CEL079</t>
  </si>
  <si>
    <t>ELAINE WARE</t>
  </si>
  <si>
    <t>CAI064</t>
  </si>
  <si>
    <t>AINE KEALY</t>
  </si>
  <si>
    <t>CAN000</t>
  </si>
  <si>
    <t>BRIDGET ANNETTE MULHARE</t>
  </si>
  <si>
    <t>CCA259</t>
  </si>
  <si>
    <t>CAROLINE HANAFIN</t>
  </si>
  <si>
    <t>CCA295</t>
  </si>
  <si>
    <t>CATHERINE KILLEEN</t>
  </si>
  <si>
    <t>CPA256</t>
  </si>
  <si>
    <t>PATRICIA NOLAN</t>
  </si>
  <si>
    <t>CGA006</t>
  </si>
  <si>
    <t>CLA056</t>
  </si>
  <si>
    <t>LAMBER DE BIE FLOWERS LTD</t>
  </si>
  <si>
    <t>CSA115</t>
  </si>
  <si>
    <t>SANDRA HATTON</t>
  </si>
  <si>
    <t>CRU007</t>
  </si>
  <si>
    <t>RUTH DORAN</t>
  </si>
  <si>
    <t>CTR035</t>
  </si>
  <si>
    <t>TRIONA DELANEY</t>
  </si>
  <si>
    <t>CTH108</t>
  </si>
  <si>
    <t>THREADS OF GREEN FABRICS</t>
  </si>
  <si>
    <t>CCA245</t>
  </si>
  <si>
    <t>CAO - CENTRAL APPLICATIONS OFFICE</t>
  </si>
  <si>
    <t>CFI014</t>
  </si>
  <si>
    <t>Fiona Coughlan (student refund)</t>
  </si>
  <si>
    <t>CFR030</t>
  </si>
  <si>
    <t>FRANCIS J DOHERTY LTD</t>
  </si>
  <si>
    <t>CTH010</t>
  </si>
  <si>
    <t>Thomas Jones t/a Redbridge AutoStop</t>
  </si>
  <si>
    <t>CJO232</t>
  </si>
  <si>
    <t>JOHN PHELAN &amp; CO LTD T/A CLEARYS HARDWAR</t>
  </si>
  <si>
    <t>MUSE COFFEE AND FOOD</t>
  </si>
  <si>
    <t>CMC035</t>
  </si>
  <si>
    <t>MC CULLAGHS SERVICE STATION LTD</t>
  </si>
  <si>
    <t>CLE039</t>
  </si>
  <si>
    <t>LETS HOST</t>
  </si>
  <si>
    <t>CTH218</t>
  </si>
  <si>
    <t>THE KEY COBBLER T/A MURPHS</t>
  </si>
  <si>
    <t>CKE000</t>
  </si>
  <si>
    <t>KELLYS STEELWORKS</t>
  </si>
  <si>
    <t>RMC NOSTALGIA LIMITED</t>
  </si>
  <si>
    <t>CLO009</t>
  </si>
  <si>
    <t>LONDIS</t>
  </si>
  <si>
    <t>CCA192</t>
  </si>
  <si>
    <t>CARROLLS - CENTRA</t>
  </si>
  <si>
    <t>CAL039</t>
  </si>
  <si>
    <t>ALL WATER SYSTEMS LTD T/A WATERLOGIC</t>
  </si>
  <si>
    <t>CMA407</t>
  </si>
  <si>
    <t>MANTECH MACHINERY LTD</t>
  </si>
  <si>
    <t>CBO010</t>
  </si>
  <si>
    <t>Bowsprit Marketing Ltd t/a Creo</t>
  </si>
  <si>
    <t>CSA088</t>
  </si>
  <si>
    <t>SAI GLOBAL (TRADING NAME OF ILI LIMITED)</t>
  </si>
  <si>
    <t>CBA046</t>
  </si>
  <si>
    <t>BALLYMOUNTAIN</t>
  </si>
  <si>
    <t>W D Bolster &amp; Son Services</t>
  </si>
  <si>
    <t>Colette Flynn (Hannah Scholarship</t>
  </si>
  <si>
    <t>CEV003</t>
  </si>
  <si>
    <t>Karena Whelan (Eve Dunphy Scholarship)</t>
  </si>
  <si>
    <t>CES014</t>
  </si>
  <si>
    <t>Esther Reddy (Niamh Scholarship)</t>
  </si>
  <si>
    <t>CMI006</t>
  </si>
  <si>
    <t>Anne Marie Harney (Michael Scholarship)</t>
  </si>
  <si>
    <t>CMO011</t>
  </si>
  <si>
    <t>Michael Morrissey (Shane Scholarship)</t>
  </si>
  <si>
    <t>CGR006</t>
  </si>
  <si>
    <t>Anthony O'Neill (Grace Scholarship)</t>
  </si>
  <si>
    <t>Allocation Date</t>
  </si>
  <si>
    <t>School Meals</t>
  </si>
  <si>
    <t>CLY002</t>
  </si>
  <si>
    <t>Lyons Architecture Ltd T/A Kenny Lyons Associates</t>
  </si>
  <si>
    <t>CGC 70% Stage 1 fees</t>
  </si>
  <si>
    <t>Rent  Jan-Mar 2023</t>
  </si>
  <si>
    <t>Rent  Oct - Dec 2022</t>
  </si>
  <si>
    <t>New ICT Purchases KS</t>
  </si>
  <si>
    <t>Furniture for Unit 6</t>
  </si>
  <si>
    <t>Flooring for classrooms and offices</t>
  </si>
  <si>
    <t>CLY001</t>
  </si>
  <si>
    <t>Lyrath Demense Ltd</t>
  </si>
  <si>
    <t>Awards Ceremony 2022</t>
  </si>
  <si>
    <t>New ICT Purchases</t>
  </si>
  <si>
    <t>Rent for VTOS   QA   Others</t>
  </si>
  <si>
    <t>RENTAL</t>
  </si>
  <si>
    <t>Rental 43 Upper Patrick ST</t>
  </si>
  <si>
    <t>Bagenalstown Youth Project Q4</t>
  </si>
  <si>
    <t>Tullow Youth Project Q4</t>
  </si>
  <si>
    <t>CMC013</t>
  </si>
  <si>
    <t>McGarry Ni Eanaigh Architects</t>
  </si>
  <si>
    <t>Colaiste Mhuire Extension</t>
  </si>
  <si>
    <t>CBA031</t>
  </si>
  <si>
    <t>BAGENALSTOWN FAMILY RESOURCE CENTRE</t>
  </si>
  <si>
    <t>Reach Fund Grant Payments</t>
  </si>
  <si>
    <t>CKE009</t>
  </si>
  <si>
    <t>Kevin Egan Cars</t>
  </si>
  <si>
    <t>Peugeot Chasis</t>
  </si>
  <si>
    <t>VSware Licensing Fee22/23</t>
  </si>
  <si>
    <t>CSU051</t>
  </si>
  <si>
    <t>SUIRSIDE CONSTRUCTION LTD</t>
  </si>
  <si>
    <t>Gateway KK UBU Project Q4</t>
  </si>
  <si>
    <t>Rural KK Project Q4</t>
  </si>
  <si>
    <t>Design Team Fees   35% (SOLAS)</t>
  </si>
  <si>
    <t>CGL027</t>
  </si>
  <si>
    <t>GLENLOW CONSTRUCTION T/A NOLAN CONSTRUCTION</t>
  </si>
  <si>
    <t>BVS Stage Payment Retention</t>
  </si>
  <si>
    <t>CMU022</t>
  </si>
  <si>
    <t>Murphy &amp; Kelly (Thomastown) Ltd</t>
  </si>
  <si>
    <t>1st Payment THO</t>
  </si>
  <si>
    <t>Carlow Town   Environs Vault Q4</t>
  </si>
  <si>
    <t>Retention Fees</t>
  </si>
  <si>
    <t>ACCOUNTS PAYABLE - PAYMENTS OVER 20K - QUARTER 4 - Oct-Dec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</si>
</sst>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* #,##0.00_-;\-&quot;€&quot;* #,##0.00_-;_-&quot;€&quot;* &quot;-&quot;??_-;_-@_-"/>
    <numFmt numFmtId="164" formatCode="###0.0"/>
    <numFmt numFmtId="165" formatCode="###0.00"/>
    <numFmt numFmtId="166" formatCode="00%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5" fillId="0" borderId="12" applyNumberFormat="0" applyFill="0" applyAlignment="0" applyProtection="0"/>
    <xf numFmtId="0" fontId="6" fillId="0" borderId="13" applyNumberFormat="0" applyFill="0" applyAlignment="0" applyProtection="0"/>
  </cellStyleXfs>
  <cellXfs count="36">
    <xf numFmtId="0" fontId="0" fillId="0" borderId="0" xfId="0"/>
    <xf numFmtId="0" fontId="0" fillId="2" borderId="2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3" xfId="0" applyFill="1" applyBorder="1"/>
    <xf numFmtId="0" fontId="0" fillId="3" borderId="5" xfId="0" applyFill="1" applyBorder="1"/>
    <xf numFmtId="49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9" xfId="0" applyNumberFormat="1" applyBorder="1"/>
    <xf numFmtId="165" fontId="0" fillId="0" borderId="0" xfId="0" applyNumberFormat="1"/>
    <xf numFmtId="165" fontId="0" fillId="0" borderId="9" xfId="0" applyNumberFormat="1" applyBorder="1"/>
    <xf numFmtId="166" fontId="0" fillId="0" borderId="0" xfId="0" applyNumberFormat="1"/>
    <xf numFmtId="166" fontId="0" fillId="0" borderId="9" xfId="0" applyNumberFormat="1" applyBorder="1"/>
    <xf numFmtId="4" fontId="0" fillId="0" borderId="0" xfId="0" applyNumberFormat="1"/>
    <xf numFmtId="4" fontId="0" fillId="0" borderId="9" xfId="0" applyNumberFormat="1" applyBorder="1"/>
    <xf numFmtId="0" fontId="0" fillId="2" borderId="10" xfId="0" applyFill="1" applyBorder="1"/>
    <xf numFmtId="0" fontId="0" fillId="3" borderId="1" xfId="0" applyFill="1" applyBorder="1"/>
    <xf numFmtId="0" fontId="0" fillId="2" borderId="1" xfId="0" applyFill="1" applyBorder="1"/>
    <xf numFmtId="0" fontId="0" fillId="3" borderId="11" xfId="0" applyFill="1" applyBorder="1"/>
    <xf numFmtId="0" fontId="0" fillId="3" borderId="1" xfId="0" quotePrefix="1" applyFill="1" applyBorder="1"/>
    <xf numFmtId="0" fontId="1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9" fontId="2" fillId="0" borderId="9" xfId="0" applyNumberFormat="1" applyFont="1" applyBorder="1" applyAlignment="1">
      <alignment horizontal="left"/>
    </xf>
    <xf numFmtId="14" fontId="0" fillId="0" borderId="0" xfId="0" applyNumberFormat="1" applyAlignment="1">
      <alignment horizontal="left"/>
    </xf>
    <xf numFmtId="14" fontId="2" fillId="0" borderId="9" xfId="0" applyNumberFormat="1" applyFont="1" applyBorder="1" applyAlignment="1">
      <alignment horizontal="left"/>
    </xf>
    <xf numFmtId="49" fontId="3" fillId="0" borderId="9" xfId="0" applyNumberFormat="1" applyFont="1" applyBorder="1" applyAlignment="1">
      <alignment horizontal="left"/>
    </xf>
    <xf numFmtId="14" fontId="0" fillId="0" borderId="0" xfId="0" applyNumberFormat="1"/>
    <xf numFmtId="14" fontId="0" fillId="0" borderId="9" xfId="0" applyNumberFormat="1" applyBorder="1"/>
    <xf numFmtId="44" fontId="0" fillId="0" borderId="0" xfId="1" applyFont="1"/>
    <xf numFmtId="44" fontId="0" fillId="0" borderId="9" xfId="1" applyFont="1" applyBorder="1"/>
    <xf numFmtId="0" fontId="5" fillId="0" borderId="12" xfId="2" applyAlignment="1">
      <alignment horizontal="center"/>
    </xf>
    <xf numFmtId="0" fontId="6" fillId="0" borderId="13" xfId="3" applyAlignment="1">
      <alignment horizontal="left"/>
    </xf>
    <xf numFmtId="0" fontId="6" fillId="0" borderId="13" xfId="3" applyAlignment="1">
      <alignment horizontal="center"/>
    </xf>
  </cellXfs>
  <cellStyles count="4">
    <cellStyle name="Currency" xfId="1" builtinId="4"/>
    <cellStyle name="Heading 1" xfId="2" builtinId="16"/>
    <cellStyle name="Heading 2" xfId="3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Infor\Query%20and%20Analysis%2011\Query%20and%20Analysis\QAA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QAA"/>
    </sheetNames>
    <definedNames>
      <definedName name="QAA_AGG"/>
      <definedName name="QAA_SR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F359B-89B6-4BBF-A994-496F06394CBB}">
  <sheetPr codeName="Sheet1"/>
  <dimension ref="A1:E32"/>
  <sheetViews>
    <sheetView tabSelected="1" workbookViewId="0">
      <selection activeCell="A4" sqref="A4"/>
    </sheetView>
  </sheetViews>
  <sheetFormatPr defaultRowHeight="15" x14ac:dyDescent="0.25"/>
  <cols>
    <col min="1" max="1" width="14.7109375" bestFit="1" customWidth="1"/>
    <col min="2" max="2" width="50.42578125" bestFit="1" customWidth="1"/>
    <col min="3" max="3" width="32.28515625" bestFit="1" customWidth="1"/>
    <col min="4" max="4" width="12.7109375" bestFit="1" customWidth="1"/>
    <col min="5" max="5" width="14.7109375" bestFit="1" customWidth="1"/>
  </cols>
  <sheetData>
    <row r="1" spans="1:5" ht="20.25" thickBot="1" x14ac:dyDescent="0.35">
      <c r="A1" s="33" t="s">
        <v>1569</v>
      </c>
      <c r="B1" s="33"/>
      <c r="C1" s="33"/>
      <c r="D1" s="33"/>
      <c r="E1" s="33"/>
    </row>
    <row r="2" spans="1:5" ht="15.75" thickTop="1" x14ac:dyDescent="0.25"/>
    <row r="4" spans="1:5" ht="18" thickBot="1" x14ac:dyDescent="0.35">
      <c r="A4" s="34"/>
      <c r="B4" s="34" t="s">
        <v>7</v>
      </c>
      <c r="C4" s="34" t="s">
        <v>7</v>
      </c>
      <c r="D4" s="35" t="s">
        <v>18</v>
      </c>
      <c r="E4" s="35" t="s">
        <v>1527</v>
      </c>
    </row>
    <row r="5" spans="1:5" ht="15.75" thickTop="1" x14ac:dyDescent="0.25">
      <c r="A5" s="9" t="s">
        <v>1529</v>
      </c>
      <c r="B5" s="9" t="s">
        <v>1530</v>
      </c>
      <c r="C5" s="9" t="s">
        <v>1531</v>
      </c>
      <c r="D5" s="31">
        <v>-20252.79</v>
      </c>
      <c r="E5" s="29">
        <v>44890</v>
      </c>
    </row>
    <row r="6" spans="1:5" x14ac:dyDescent="0.25">
      <c r="A6" s="9" t="s">
        <v>201</v>
      </c>
      <c r="B6" s="9" t="s">
        <v>202</v>
      </c>
      <c r="C6" s="9" t="s">
        <v>1532</v>
      </c>
      <c r="D6" s="31">
        <v>-21256.5</v>
      </c>
      <c r="E6" s="29">
        <v>44918</v>
      </c>
    </row>
    <row r="7" spans="1:5" x14ac:dyDescent="0.25">
      <c r="A7" s="9" t="s">
        <v>201</v>
      </c>
      <c r="B7" s="9" t="s">
        <v>202</v>
      </c>
      <c r="C7" s="9" t="s">
        <v>1533</v>
      </c>
      <c r="D7" s="31">
        <v>-21256.5</v>
      </c>
      <c r="E7" s="29">
        <v>44841</v>
      </c>
    </row>
    <row r="8" spans="1:5" x14ac:dyDescent="0.25">
      <c r="A8" s="9" t="s">
        <v>144</v>
      </c>
      <c r="B8" s="9" t="s">
        <v>145</v>
      </c>
      <c r="C8" s="9" t="s">
        <v>1534</v>
      </c>
      <c r="D8" s="31">
        <v>-21427.71</v>
      </c>
      <c r="E8" s="29">
        <v>44914</v>
      </c>
    </row>
    <row r="9" spans="1:5" x14ac:dyDescent="0.25">
      <c r="A9" s="9" t="s">
        <v>173</v>
      </c>
      <c r="B9" s="9" t="s">
        <v>174</v>
      </c>
      <c r="C9" s="9" t="s">
        <v>1535</v>
      </c>
      <c r="D9" s="31">
        <v>-21894</v>
      </c>
      <c r="E9" s="29">
        <v>44883</v>
      </c>
    </row>
    <row r="10" spans="1:5" x14ac:dyDescent="0.25">
      <c r="A10" s="9" t="s">
        <v>56</v>
      </c>
      <c r="B10" s="9" t="s">
        <v>1515</v>
      </c>
      <c r="C10" s="9" t="s">
        <v>1536</v>
      </c>
      <c r="D10" s="31">
        <v>-22453.46</v>
      </c>
      <c r="E10" s="29">
        <v>44862</v>
      </c>
    </row>
    <row r="11" spans="1:5" x14ac:dyDescent="0.25">
      <c r="A11" s="9" t="s">
        <v>1537</v>
      </c>
      <c r="B11" s="9" t="s">
        <v>1538</v>
      </c>
      <c r="C11" s="9" t="s">
        <v>1539</v>
      </c>
      <c r="D11" s="31">
        <v>-23304.28</v>
      </c>
      <c r="E11" s="29">
        <v>44897</v>
      </c>
    </row>
    <row r="12" spans="1:5" x14ac:dyDescent="0.25">
      <c r="A12" s="9" t="s">
        <v>144</v>
      </c>
      <c r="B12" s="9" t="s">
        <v>145</v>
      </c>
      <c r="C12" s="9" t="s">
        <v>1540</v>
      </c>
      <c r="D12" s="31">
        <v>-23936.29</v>
      </c>
      <c r="E12" s="29">
        <v>44914</v>
      </c>
    </row>
    <row r="13" spans="1:5" x14ac:dyDescent="0.25">
      <c r="A13" s="9" t="s">
        <v>193</v>
      </c>
      <c r="B13" s="9" t="s">
        <v>194</v>
      </c>
      <c r="C13" s="9" t="s">
        <v>1541</v>
      </c>
      <c r="D13" s="31">
        <v>-24345</v>
      </c>
      <c r="E13" s="29">
        <v>44862</v>
      </c>
    </row>
    <row r="14" spans="1:5" x14ac:dyDescent="0.25">
      <c r="A14" s="9" t="s">
        <v>187</v>
      </c>
      <c r="B14" s="9" t="s">
        <v>188</v>
      </c>
      <c r="C14" s="9" t="s">
        <v>1542</v>
      </c>
      <c r="D14" s="31">
        <v>-24996</v>
      </c>
      <c r="E14" s="29">
        <v>44904</v>
      </c>
    </row>
    <row r="15" spans="1:5" x14ac:dyDescent="0.25">
      <c r="A15" s="9" t="s">
        <v>160</v>
      </c>
      <c r="B15" s="9" t="s">
        <v>161</v>
      </c>
      <c r="C15" s="9" t="s">
        <v>1543</v>
      </c>
      <c r="D15" s="31">
        <v>-25000</v>
      </c>
      <c r="E15" s="29">
        <v>44862</v>
      </c>
    </row>
    <row r="16" spans="1:5" x14ac:dyDescent="0.25">
      <c r="A16" s="9" t="s">
        <v>142</v>
      </c>
      <c r="B16" s="9" t="s">
        <v>143</v>
      </c>
      <c r="C16" s="9" t="s">
        <v>1544</v>
      </c>
      <c r="D16" s="31">
        <v>-30000</v>
      </c>
      <c r="E16" s="29">
        <v>44869</v>
      </c>
    </row>
    <row r="17" spans="1:5" x14ac:dyDescent="0.25">
      <c r="A17" s="9" t="s">
        <v>146</v>
      </c>
      <c r="B17" s="9" t="s">
        <v>147</v>
      </c>
      <c r="C17" s="9" t="s">
        <v>1528</v>
      </c>
      <c r="D17" s="31">
        <v>-32848.199999999997</v>
      </c>
      <c r="E17" s="29">
        <v>44904</v>
      </c>
    </row>
    <row r="18" spans="1:5" x14ac:dyDescent="0.25">
      <c r="A18" s="9" t="s">
        <v>146</v>
      </c>
      <c r="B18" s="9" t="s">
        <v>147</v>
      </c>
      <c r="C18" s="9" t="s">
        <v>1528</v>
      </c>
      <c r="D18" s="31">
        <v>-32949</v>
      </c>
      <c r="E18" s="29">
        <v>44918</v>
      </c>
    </row>
    <row r="19" spans="1:5" x14ac:dyDescent="0.25">
      <c r="A19" s="9" t="s">
        <v>142</v>
      </c>
      <c r="B19" s="9" t="s">
        <v>143</v>
      </c>
      <c r="C19" s="9" t="s">
        <v>1545</v>
      </c>
      <c r="D19" s="31">
        <v>-33024</v>
      </c>
      <c r="E19" s="29">
        <v>44869</v>
      </c>
    </row>
    <row r="20" spans="1:5" x14ac:dyDescent="0.25">
      <c r="A20" s="9" t="s">
        <v>1546</v>
      </c>
      <c r="B20" s="9" t="s">
        <v>1547</v>
      </c>
      <c r="C20" s="9" t="s">
        <v>1548</v>
      </c>
      <c r="D20" s="31">
        <v>-33358.93</v>
      </c>
      <c r="E20" s="29">
        <v>44879</v>
      </c>
    </row>
    <row r="21" spans="1:5" x14ac:dyDescent="0.25">
      <c r="A21" s="9" t="s">
        <v>1549</v>
      </c>
      <c r="B21" s="9" t="s">
        <v>1550</v>
      </c>
      <c r="C21" s="9" t="s">
        <v>1551</v>
      </c>
      <c r="D21" s="31">
        <v>-33837.300000000003</v>
      </c>
      <c r="E21" s="29">
        <v>44841</v>
      </c>
    </row>
    <row r="22" spans="1:5" x14ac:dyDescent="0.25">
      <c r="A22" s="9" t="s">
        <v>1552</v>
      </c>
      <c r="B22" s="9" t="s">
        <v>1553</v>
      </c>
      <c r="C22" s="9" t="s">
        <v>1554</v>
      </c>
      <c r="D22" s="31">
        <v>-35670</v>
      </c>
      <c r="E22" s="29">
        <v>44904</v>
      </c>
    </row>
    <row r="23" spans="1:5" x14ac:dyDescent="0.25">
      <c r="A23" s="9" t="s">
        <v>236</v>
      </c>
      <c r="B23" s="9" t="s">
        <v>237</v>
      </c>
      <c r="C23" s="9" t="s">
        <v>1555</v>
      </c>
      <c r="D23" s="31">
        <v>-36719.54</v>
      </c>
      <c r="E23" s="29">
        <v>44914</v>
      </c>
    </row>
    <row r="24" spans="1:5" x14ac:dyDescent="0.25">
      <c r="A24" s="9" t="s">
        <v>146</v>
      </c>
      <c r="B24" s="9" t="s">
        <v>147</v>
      </c>
      <c r="C24" s="9" t="s">
        <v>1528</v>
      </c>
      <c r="D24" s="31">
        <v>-38322.9</v>
      </c>
      <c r="E24" s="29">
        <v>44862</v>
      </c>
    </row>
    <row r="25" spans="1:5" x14ac:dyDescent="0.25">
      <c r="A25" s="9" t="s">
        <v>1556</v>
      </c>
      <c r="B25" s="9" t="s">
        <v>1557</v>
      </c>
      <c r="C25" s="9" t="s">
        <v>1568</v>
      </c>
      <c r="D25" s="31">
        <v>-39798.76</v>
      </c>
      <c r="E25" s="29">
        <v>44904</v>
      </c>
    </row>
    <row r="26" spans="1:5" x14ac:dyDescent="0.25">
      <c r="A26" s="9" t="s">
        <v>148</v>
      </c>
      <c r="B26" s="9" t="s">
        <v>149</v>
      </c>
      <c r="C26" s="9" t="s">
        <v>1558</v>
      </c>
      <c r="D26" s="31">
        <v>-41033</v>
      </c>
      <c r="E26" s="29">
        <v>44883</v>
      </c>
    </row>
    <row r="27" spans="1:5" x14ac:dyDescent="0.25">
      <c r="A27" s="9" t="s">
        <v>148</v>
      </c>
      <c r="B27" s="9" t="s">
        <v>149</v>
      </c>
      <c r="C27" s="9" t="s">
        <v>1559</v>
      </c>
      <c r="D27" s="31">
        <v>-47807.5</v>
      </c>
      <c r="E27" s="29">
        <v>44883</v>
      </c>
    </row>
    <row r="28" spans="1:5" x14ac:dyDescent="0.25">
      <c r="A28" s="9" t="s">
        <v>230</v>
      </c>
      <c r="B28" s="9" t="s">
        <v>231</v>
      </c>
      <c r="C28" s="9" t="s">
        <v>1560</v>
      </c>
      <c r="D28" s="31">
        <v>-49117.9</v>
      </c>
      <c r="E28" s="29">
        <v>44897</v>
      </c>
    </row>
    <row r="29" spans="1:5" x14ac:dyDescent="0.25">
      <c r="A29" s="9" t="s">
        <v>1561</v>
      </c>
      <c r="B29" s="9" t="s">
        <v>1562</v>
      </c>
      <c r="C29" s="9" t="s">
        <v>1563</v>
      </c>
      <c r="D29" s="31">
        <v>-54060.53</v>
      </c>
      <c r="E29" s="29">
        <v>44862</v>
      </c>
    </row>
    <row r="30" spans="1:5" x14ac:dyDescent="0.25">
      <c r="A30" s="9" t="s">
        <v>1564</v>
      </c>
      <c r="B30" s="9" t="s">
        <v>1565</v>
      </c>
      <c r="C30" s="9" t="s">
        <v>1566</v>
      </c>
      <c r="D30" s="31">
        <v>-81312.83</v>
      </c>
      <c r="E30" s="29">
        <v>44876</v>
      </c>
    </row>
    <row r="31" spans="1:5" x14ac:dyDescent="0.25">
      <c r="A31" s="9" t="s">
        <v>142</v>
      </c>
      <c r="B31" s="9" t="s">
        <v>143</v>
      </c>
      <c r="C31" s="9" t="s">
        <v>1567</v>
      </c>
      <c r="D31" s="31">
        <v>-105666</v>
      </c>
      <c r="E31" s="29">
        <v>44869</v>
      </c>
    </row>
    <row r="32" spans="1:5" ht="15.75" thickBot="1" x14ac:dyDescent="0.3">
      <c r="A32" s="28" t="s">
        <v>17</v>
      </c>
      <c r="B32" s="28" t="s">
        <v>127</v>
      </c>
      <c r="C32" s="28" t="s">
        <v>127</v>
      </c>
      <c r="D32" s="32">
        <v>-975648.92</v>
      </c>
      <c r="E32" s="30"/>
    </row>
  </sheetData>
  <mergeCells count="1">
    <mergeCell ref="A1:E1"/>
  </mergeCells>
  <dataValidations count="1">
    <dataValidation type="textLength" errorStyle="information" allowBlank="1" showInputMessage="1" showErrorMessage="1" error="XLBVal:8=Account Code_x000d__x000a_XLBRowCount:8=29_x000d__x000a_XLBColCount:8=5_x000d__x000a_" sqref="A4" xr:uid="{66E0C5B2-BB2C-46FA-9F8F-F79583283898}">
      <formula1>0</formula1>
      <formula2>300</formula2>
    </dataValidation>
  </dataValidations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0DBCE-3F4A-42F3-AFF6-3AA3DC2C558C}">
  <sheetPr codeName="Sheet2"/>
  <dimension ref="A1:E761"/>
  <sheetViews>
    <sheetView workbookViewId="0">
      <selection activeCell="A11" sqref="A11"/>
    </sheetView>
  </sheetViews>
  <sheetFormatPr defaultRowHeight="15" x14ac:dyDescent="0.25"/>
  <cols>
    <col min="1" max="1" width="14" bestFit="1" customWidth="1"/>
    <col min="2" max="2" width="53" bestFit="1" customWidth="1"/>
    <col min="3" max="3" width="12.140625" bestFit="1" customWidth="1"/>
  </cols>
  <sheetData>
    <row r="1" spans="1:5" ht="15.75" thickBot="1" x14ac:dyDescent="0.3"/>
    <row r="2" spans="1:5" ht="15.75" thickBot="1" x14ac:dyDescent="0.3">
      <c r="B2" s="1" t="s">
        <v>0</v>
      </c>
      <c r="C2" s="5" t="s">
        <v>136</v>
      </c>
      <c r="D2" s="3"/>
      <c r="E2" s="7"/>
    </row>
    <row r="3" spans="1:5" ht="15.75" thickBot="1" x14ac:dyDescent="0.3">
      <c r="B3" s="20" t="s">
        <v>131</v>
      </c>
      <c r="C3" s="19" t="s">
        <v>132</v>
      </c>
      <c r="D3" s="20"/>
      <c r="E3" s="8"/>
    </row>
    <row r="4" spans="1:5" ht="15.75" thickBot="1" x14ac:dyDescent="0.3">
      <c r="B4" s="18" t="s">
        <v>1</v>
      </c>
      <c r="C4" s="22" t="s">
        <v>137</v>
      </c>
      <c r="D4" s="20" t="s">
        <v>5</v>
      </c>
      <c r="E4" s="21" t="s">
        <v>138</v>
      </c>
    </row>
    <row r="5" spans="1:5" ht="15.75" thickBot="1" x14ac:dyDescent="0.3">
      <c r="B5" s="18" t="s">
        <v>2</v>
      </c>
      <c r="C5" s="19" t="s">
        <v>4</v>
      </c>
      <c r="D5" s="20" t="s">
        <v>5</v>
      </c>
      <c r="E5" s="21" t="s">
        <v>6</v>
      </c>
    </row>
    <row r="6" spans="1:5" ht="15.75" thickBot="1" x14ac:dyDescent="0.3">
      <c r="B6" s="18" t="s">
        <v>3</v>
      </c>
      <c r="C6" s="19" t="s">
        <v>129</v>
      </c>
      <c r="D6" s="20" t="s">
        <v>5</v>
      </c>
      <c r="E6" s="21" t="s">
        <v>133</v>
      </c>
    </row>
    <row r="7" spans="1:5" ht="15.75" thickBot="1" x14ac:dyDescent="0.3">
      <c r="B7" s="2" t="s">
        <v>130</v>
      </c>
      <c r="C7" s="6" t="s">
        <v>134</v>
      </c>
      <c r="D7" s="4" t="s">
        <v>5</v>
      </c>
      <c r="E7" s="8" t="s">
        <v>134</v>
      </c>
    </row>
    <row r="8" spans="1:5" ht="15.75" thickBot="1" x14ac:dyDescent="0.3">
      <c r="B8" s="18" t="s">
        <v>128</v>
      </c>
      <c r="C8" s="19" t="s">
        <v>134</v>
      </c>
      <c r="D8" s="20"/>
      <c r="E8" s="21" t="s">
        <v>135</v>
      </c>
    </row>
    <row r="10" spans="1:5" ht="15.75" thickBot="1" x14ac:dyDescent="0.3"/>
    <row r="11" spans="1:5" ht="15.75" x14ac:dyDescent="0.25">
      <c r="A11" s="23" t="str">
        <f>[1]!QAA_SR("1,2,SS6,LA,F={P}1,K=DbC,F={P}2,K=/LA/Ldg,F={P}3,T={P}4,K=/LA/AccCde,F={P}5,T={P}6,K=/LA/Prd,F={P}7,T={P}8,K=/LA/JnlTyp,F={P}9,K=/LA/Alc,F={P}10,T={P}11,K=/LA/JnlSrc,E=0,O=/LA/AccCde,E=0,O=/LA/CA/Nme,E=1,S=1,O=/LA/BseAmt,RT=-4154,RF=111111011,AF=1,TP=,EA=1"&amp;"",$C$2,$C$3,$C$5,$E$5,$C$4,$E$4,$C$6,$E$6,$C$8,$C$7,$E$7)</f>
        <v>Account Code</v>
      </c>
      <c r="B11" s="23" t="s">
        <v>7</v>
      </c>
      <c r="C11" s="24" t="s">
        <v>18</v>
      </c>
    </row>
    <row r="12" spans="1:5" x14ac:dyDescent="0.25">
      <c r="A12" s="9" t="s">
        <v>64</v>
      </c>
      <c r="B12" s="9" t="s">
        <v>139</v>
      </c>
      <c r="C12" s="16">
        <f>[1]!QAA_AGG("1,2,SS6,LA,F=KCA,K=DbC,F=A,K=/LA/Ldg,F=CIR000,T=CIR000,K=/LA/AccCde,F=001/2022,T=012/2022,K=/LA/Prd,F=P,T=PINV,K=/LA/JnlTyp,F=&lt;ALL&gt;,K=/LA/Alc,F=&lt;ALL&gt;,T=&lt;ALL&gt;,K=/LA/JnlSrc,F=IRISH PUBLIC BODIES MUTUAL INSURANCE LTD,T=IRISH PUBLIC BODIES MUTUAL INSURANCE LT"&amp;"D,K=/LA/CA/Nme,E=1,O=/LA/BseAmt,XLBVal:6=-308352.430",)</f>
        <v>-308352.43</v>
      </c>
    </row>
    <row r="13" spans="1:5" x14ac:dyDescent="0.25">
      <c r="A13" s="9" t="s">
        <v>140</v>
      </c>
      <c r="B13" s="9" t="s">
        <v>141</v>
      </c>
      <c r="C13" s="16">
        <f>[1]!QAA_AGG("1,2,SS6,LA,F=KCA,K=DbC,F=A,K=/LA/Ldg,F=CBE071,T=CBE071,K=/LA/AccCde,F=001/2022,T=012/2022,K=/LA/Prd,F=P,T=PINV,K=/LA/JnlTyp,F=&lt;ALL&gt;,K=/LA/Alc,F=&lt;ALL&gt;,T=&lt;ALL&gt;,K=/LA/JnlSrc,F=BELL CONTRACTS AND CO LTD,T=BELL CONTRACTS AND CO LTD,K=/LA/CA/Nme,E=1,O=/LA/BseAm"&amp;"t,XLBVal:6=-186694.940",)</f>
        <v>-186694.94</v>
      </c>
    </row>
    <row r="14" spans="1:5" x14ac:dyDescent="0.25">
      <c r="A14" s="9" t="s">
        <v>142</v>
      </c>
      <c r="B14" s="9" t="s">
        <v>143</v>
      </c>
      <c r="C14" s="16">
        <f>[1]!QAA_AGG("1,2,SS6,LA,F=KCA,K=DbC,F=A,K=/LA/Ldg,F=CCA018,T=CCA018,K=/LA/AccCde,F=001/2022,T=012/2022,K=/LA/Prd,F=P,T=PINV,K=/LA/JnlTyp,F=&lt;ALL&gt;,K=/LA/Alc,F=&lt;ALL&gt;,T=&lt;ALL&gt;,K=/LA/JnlSrc,F=CARLOW REGIONAL YOUTH SERVICE,T=CARLOW REGIONAL YOUTH SERVICE,K=/LA/CA/Nme,E=1,O=/"&amp;"LA/BseAmt,XLBVal:6=-146538.000",)</f>
        <v>-146538</v>
      </c>
    </row>
    <row r="15" spans="1:5" x14ac:dyDescent="0.25">
      <c r="A15" s="9" t="s">
        <v>144</v>
      </c>
      <c r="B15" s="9" t="s">
        <v>145</v>
      </c>
      <c r="C15" s="16">
        <f>[1]!QAA_AGG("1,2,SS6,LA,F=KCA,K=DbC,F=A,K=/LA/Ldg,F=CDA017,T=CDA017,K=/LA/AccCde,F=001/2022,T=012/2022,K=/LA/Prd,F=P,T=PINV,K=/LA/JnlTyp,F=&lt;ALL&gt;,K=/LA/Alc,F=&lt;ALL&gt;,T=&lt;ALL&gt;,K=/LA/JnlSrc,F=DATAPAC,T=DATAPAC,K=/LA/CA/Nme,E=1,O=/LA/BseAmt,XLBVal:6=-135140.530",)</f>
        <v>-135140.53</v>
      </c>
    </row>
    <row r="16" spans="1:5" x14ac:dyDescent="0.25">
      <c r="A16" s="9" t="s">
        <v>146</v>
      </c>
      <c r="B16" s="9" t="s">
        <v>147</v>
      </c>
      <c r="C16" s="16">
        <f>[1]!QAA_AGG("1,2,SS6,LA,F=KCA,K=DbC,F=A,K=/LA/Ldg,F=CPI017,T=CPI017,K=/LA/AccCde,F=001/2022,T=012/2022,K=/LA/Prd,F=P,T=PINV,K=/LA/JnlTyp,F=&lt;ALL&gt;,K=/LA/Alc,F=&lt;ALL&gt;,T=&lt;ALL&gt;,K=/LA/JnlSrc,F=PICEL LTD,T=PICEL LTD,K=/LA/CA/Nme,E=1,O=/LA/BseAmt,XLBVal:6=-121857.900",)</f>
        <v>-121857.9</v>
      </c>
    </row>
    <row r="17" spans="1:3" x14ac:dyDescent="0.25">
      <c r="A17" s="9" t="s">
        <v>148</v>
      </c>
      <c r="B17" s="9" t="s">
        <v>149</v>
      </c>
      <c r="C17" s="16">
        <f>[1]!QAA_AGG("1,2,SS6,LA,F=KCA,K=DbC,F=A,K=/LA/Ldg,F=COS002,T=COS002,K=/LA/AccCde,F=001/2022,T=012/2022,K=/LA/Prd,F=P,T=PINV,K=/LA/JnlTyp,F=&lt;ALL&gt;,K=/LA/Alc,F=&lt;ALL&gt;,T=&lt;ALL&gt;,K=/LA/JnlSrc,F=OSSORY YOUTH,T=OSSORY YOUTH,K=/LA/CA/Nme,E=1,O=/LA/BseAmt,XLBVal:6=-115961.500",)</f>
        <v>-115961.5</v>
      </c>
    </row>
    <row r="18" spans="1:3" x14ac:dyDescent="0.25">
      <c r="A18" s="9" t="s">
        <v>150</v>
      </c>
      <c r="B18" s="9" t="s">
        <v>151</v>
      </c>
      <c r="C18" s="16">
        <f>[1]!QAA_AGG("1,2,SS6,LA,F=KCA,K=DbC,F=A,K=/LA/Ldg,F=CEL071,T=CEL071,K=/LA/AccCde,F=001/2022,T=012/2022,K=/LA/Prd,F=P,T=PINV,K=/LA/JnlTyp,F=&lt;ALL&gt;,K=/LA/Alc,F=&lt;ALL&gt;,T=&lt;ALL&gt;,K=/LA/JnlSrc,F=ELECTRIC IRELAND,T=ELECTRIC IRELAND,K=/LA/CA/Nme,E=1,O=/LA/BseAmt,XLBVal:6=-114187"&amp;".560",)</f>
        <v>-114187.56</v>
      </c>
    </row>
    <row r="19" spans="1:3" x14ac:dyDescent="0.25">
      <c r="A19" s="9" t="s">
        <v>152</v>
      </c>
      <c r="B19" s="9" t="s">
        <v>153</v>
      </c>
      <c r="C19" s="16">
        <f>[1]!QAA_AGG("1,2,SS6,LA,F=KCA,K=DbC,F=A,K=/LA/Ldg,F=CRO013,T=CRO013,K=/LA/AccCde,F=001/2022,T=012/2022,K=/LA/Prd,F=P,T=PINV,K=/LA/JnlTyp,F=&lt;ALL&gt;,K=/LA/Alc,F=&lt;ALL&gt;,T=&lt;ALL&gt;,K=/LA/JnlSrc,F=RONAYNE HIRE &amp; HARDWARE,T=RONAYNE HIRE &amp; HARDWARE,K=/LA/CA/Nme,E=1,O=/LA/BseAmt,XL"&amp;"BVal:6=-90079.050",)</f>
        <v>-90079.05</v>
      </c>
    </row>
    <row r="20" spans="1:3" x14ac:dyDescent="0.25">
      <c r="A20" s="9" t="s">
        <v>154</v>
      </c>
      <c r="B20" s="9" t="s">
        <v>155</v>
      </c>
      <c r="C20" s="16">
        <f>[1]!QAA_AGG("1,2,SS6,LA,F=KCA,K=DbC,F=A,K=/LA/Ldg,F=CIN043,T=CIN043,K=/LA/AccCde,F=001/2022,T=012/2022,K=/LA/Prd,F=P,T=PINV,K=/LA/JnlTyp,F=&lt;ALL&gt;,K=/LA/Alc,F=&lt;ALL&gt;,T=&lt;ALL&gt;,K=/LA/JnlSrc,F=INDEPENDENT PHOTOCOPIER SERVICES LTD (IPSL),T=INDEPENDENT PHOTOCOPIER SERVICES LTD"&amp;" (IPSL),K=/LA/CA/Nme,E=1,O=/LA/BseAmt,XLBVal:6=-86179.750",)</f>
        <v>-86179.75</v>
      </c>
    </row>
    <row r="21" spans="1:3" x14ac:dyDescent="0.25">
      <c r="A21" s="9" t="s">
        <v>156</v>
      </c>
      <c r="B21" s="9" t="s">
        <v>157</v>
      </c>
      <c r="C21" s="16">
        <f>[1]!QAA_AGG("1,2,SS6,LA,F=KCA,K=DbC,F=A,K=/LA/Ldg,F=CHA015,T=CHA015,K=/LA/AccCde,F=001/2022,T=012/2022,K=/LA/Prd,F=P,T=PINV,K=/LA/JnlTyp,F=&lt;ALL&gt;,K=/LA/Alc,F=&lt;ALL&gt;,T=&lt;ALL&gt;,K=/LA/JnlSrc,F=HARTLEY PEOPLE (TEMP),T=HARTLEY PEOPLE (TEMP),K=/LA/CA/Nme,E=1,O=/LA/BseAmt,XLBVal"&amp;":6=-57549.620",)</f>
        <v>-57549.62</v>
      </c>
    </row>
    <row r="22" spans="1:3" x14ac:dyDescent="0.25">
      <c r="A22" s="9" t="s">
        <v>158</v>
      </c>
      <c r="B22" s="9" t="s">
        <v>159</v>
      </c>
      <c r="C22" s="16">
        <f>[1]!QAA_AGG("1,2,SS6,LA,F=KCA,K=DbC,F=A,K=/LA/Ldg,F=CTO037,T=CTO037,K=/LA/AccCde,F=001/2022,T=012/2022,K=/LA/Prd,F=P,T=PINV,K=/LA/JnlTyp,F=&lt;ALL&gt;,K=/LA/Alc,F=&lt;ALL&gt;,T=&lt;ALL&gt;,K=/LA/JnlSrc,F=CIRCLE K IRELAND ENERGY LTD (FORMERLY TOPAZ),T=CIRCLE K IRELAND ENERGY LTD (FORMER"&amp;"LY TOPAZ),K=/LA/CA/Nme,E=1,O=/LA/BseAmt,XLBVal:6=-51053.510",)</f>
        <v>-51053.51</v>
      </c>
    </row>
    <row r="23" spans="1:3" x14ac:dyDescent="0.25">
      <c r="A23" s="9" t="s">
        <v>160</v>
      </c>
      <c r="B23" s="9" t="s">
        <v>161</v>
      </c>
      <c r="C23" s="16">
        <f>[1]!QAA_AGG("1,2,SS6,LA,F=KCA,K=DbC,F=A,K=/LA/Ldg,F=CFR027,T=CFR027,K=/LA/AccCde,F=001/2022,T=012/2022,K=/LA/Prd,F=P,T=PINV,K=/LA/JnlTyp,F=&lt;ALL&gt;,K=/LA/Alc,F=&lt;ALL&gt;,T=&lt;ALL&gt;,K=/LA/JnlSrc,F=FRAN GRINCELL PROPERTIES,T=FRAN GRINCELL PROPERTIES,K=/LA/CA/Nme,E=1,O=/LA/BseAmt,"&amp;"XLBVal:6=-50000.000",)</f>
        <v>-50000</v>
      </c>
    </row>
    <row r="24" spans="1:3" x14ac:dyDescent="0.25">
      <c r="A24" s="9" t="s">
        <v>162</v>
      </c>
      <c r="B24" s="9" t="s">
        <v>163</v>
      </c>
      <c r="C24" s="16">
        <f>[1]!QAA_AGG("1,2,SS6,LA,F=KCA,K=DbC,F=A,K=/LA/Ldg,F=CRA029,T=CRA029,K=/LA/AccCde,F=001/2022,T=012/2022,K=/LA/Prd,F=P,T=PINV,K=/LA/JnlTyp,F=&lt;ALL&gt;,K=/LA/Alc,F=&lt;ALL&gt;,T=&lt;ALL&gt;,K=/LA/JnlSrc,F=RAYMOND COFFEY,T=RAYMOND COFFEY,K=/LA/CA/Nme,E=1,O=/LA/BseAmt,XLBVal:6=-48487.500",)</f>
        <v>-48487.5</v>
      </c>
    </row>
    <row r="25" spans="1:3" x14ac:dyDescent="0.25">
      <c r="A25" s="9" t="s">
        <v>164</v>
      </c>
      <c r="B25" s="9" t="s">
        <v>165</v>
      </c>
      <c r="C25" s="16">
        <f>[1]!QAA_AGG("1,2,SS6,LA,F=KCA,K=DbC,F=A,K=/LA/Ldg,F=CAI009,T=CAI009,K=/LA/AccCde,F=001/2022,T=012/2022,K=/LA/Prd,F=P,T=PINV,K=/LA/JnlTyp,F=&lt;ALL&gt;,K=/LA/Alc,F=&lt;ALL&gt;,T=&lt;ALL&gt;,K=/LA/JnlSrc,F=SSE AIRTRICITY LTD,T=SSE AIRTRICITY LTD,K=/LA/CA/Nme,E=1,O=/LA/BseAmt,XLBVal:6=-46"&amp;"956.260",)</f>
        <v>-46956.26</v>
      </c>
    </row>
    <row r="26" spans="1:3" x14ac:dyDescent="0.25">
      <c r="A26" s="9" t="s">
        <v>166</v>
      </c>
      <c r="B26" s="9" t="s">
        <v>167</v>
      </c>
      <c r="C26" s="16">
        <f>[1]!QAA_AGG("1,2,SS6,LA,F=KCA,K=DbC,F=A,K=/LA/Ldg,F=CFR041,T=CFR041,K=/LA/AccCde,F=001/2022,T=012/2022,K=/LA/Prd,F=P,T=PINV,K=/LA/JnlTyp,F=&lt;ALL&gt;,K=/LA/Alc,F=&lt;ALL&gt;,T=&lt;ALL&gt;,K=/LA/JnlSrc,F=FRESH TODAY CATERING WEXFORD LTD,T=FRESH TODAY CATERING WEXFORD LTD,K=/LA/CA/Nme,E"&amp;"=1,O=/LA/BseAmt,XLBVal:6=-42800.500",)</f>
        <v>-42800.5</v>
      </c>
    </row>
    <row r="27" spans="1:3" x14ac:dyDescent="0.25">
      <c r="A27" s="9" t="s">
        <v>168</v>
      </c>
      <c r="B27" s="9" t="s">
        <v>169</v>
      </c>
      <c r="C27" s="16">
        <f>[1]!QAA_AGG("1,2,SS6,LA,F=KCA,K=DbC,F=A,K=/LA/Ldg,F=CPA135,T=CPA135,K=/LA/AccCde,F=001/2022,T=012/2022,K=/LA/Prd,F=P,T=PINV,K=/LA/JnlTyp,F=&lt;ALL&gt;,K=/LA/Alc,F=&lt;ALL&gt;,T=&lt;ALL&gt;,K=/LA/JnlSrc,F=PATRICIA LONG,T=PATRICIA LONG,K=/LA/CA/Nme,E=1,O=/LA/BseAmt,XLBVal:6=-41999.700",)</f>
        <v>-41999.7</v>
      </c>
    </row>
    <row r="28" spans="1:3" x14ac:dyDescent="0.25">
      <c r="A28" s="9" t="s">
        <v>170</v>
      </c>
      <c r="B28" s="9" t="s">
        <v>171</v>
      </c>
      <c r="C28" s="16">
        <f>[1]!QAA_AGG("1,2,SS6,LA,F=KCA,K=DbC,F=A,K=/LA/Ldg,F=COF001,T=COF001,K=/LA/AccCde,F=001/2022,T=012/2022,K=/LA/Prd,F=P,T=PINV,K=/LA/JnlTyp,F=&lt;ALL&gt;,K=/LA/Alc,F=&lt;ALL&gt;,T=&lt;ALL&gt;,K=/LA/JnlSrc,F=OFFICE OF THE COMPTROLLER AND,T=OFFICE OF THE COMPTROLLER AND,K=/LA/CA/Nme,E=1,O=/"&amp;"LA/BseAmt,XLBVal:6=-41600.000",)</f>
        <v>-41600</v>
      </c>
    </row>
    <row r="29" spans="1:3" x14ac:dyDescent="0.25">
      <c r="A29" s="9" t="s">
        <v>172</v>
      </c>
      <c r="B29" s="9" t="s">
        <v>121</v>
      </c>
      <c r="C29" s="16">
        <f>[1]!QAA_AGG("1,2,SS6,LA,F=KCA,K=DbC,F=A,K=/LA/Ldg,F=CRO009,T=CRO009,K=/LA/AccCde,F=001/2022,T=012/2022,K=/LA/Prd,F=P,T=PINV,K=/LA/JnlTyp,F=&lt;ALL&gt;,K=/LA/Alc,F=&lt;ALL&gt;,T=&lt;ALL&gt;,K=/LA/JnlSrc,F=ROADMASTER CARAVANS LTD,T=ROADMASTER CARAVANS LTD,K=/LA/CA/Nme,E=1,O=/LA/BseAmt,XL"&amp;"BVal:6=-41542.020",)</f>
        <v>-41542.019999999997</v>
      </c>
    </row>
    <row r="30" spans="1:3" x14ac:dyDescent="0.25">
      <c r="A30" s="9" t="s">
        <v>173</v>
      </c>
      <c r="B30" s="9" t="s">
        <v>174</v>
      </c>
      <c r="C30" s="16">
        <f>[1]!QAA_AGG("1,2,SS6,LA,F=KCA,K=DbC,F=A,K=/LA/Ldg,F=CWA006,T=CWA006,K=/LA/AccCde,F=001/2022,T=012/2022,K=/LA/Prd,F=P,T=PINV,K=/LA/JnlTyp,F=&lt;ALL&gt;,K=/LA/Alc,F=&lt;ALL&gt;,T=&lt;ALL&gt;,K=/LA/JnlSrc,F=PETER WALSH AND SONS (MANUFACTURING) LTD,T=PETER WALSH AND SONS (MANUFACTURING) LT"&amp;"D,K=/LA/CA/Nme,E=1,O=/LA/BseAmt,XLBVal:6=-41158.110",)</f>
        <v>-41158.11</v>
      </c>
    </row>
    <row r="31" spans="1:3" x14ac:dyDescent="0.25">
      <c r="A31" s="9" t="s">
        <v>175</v>
      </c>
      <c r="B31" s="9" t="s">
        <v>176</v>
      </c>
      <c r="C31" s="16">
        <f>[1]!QAA_AGG("1,2,SS6,LA,F=KCA,K=DbC,F=A,K=/LA/Ldg,F=CNO031,T=CNO031,K=/LA/AccCde,F=001/2022,T=012/2022,K=/LA/Prd,F=P,T=PINV,K=/LA/JnlTyp,F=&lt;ALL&gt;,K=/LA/Alc,F=&lt;ALL&gt;,T=&lt;ALL&gt;,K=/LA/JnlSrc,F=NORESIDE CATERING,T=NORESIDE CATERING,K=/LA/CA/Nme,E=1,O=/LA/BseAmt,XLBVal:6=-3432"&amp;"8.200",)</f>
        <v>-34328.199999999997</v>
      </c>
    </row>
    <row r="32" spans="1:3" x14ac:dyDescent="0.25">
      <c r="A32" s="9" t="s">
        <v>177</v>
      </c>
      <c r="B32" s="9" t="s">
        <v>178</v>
      </c>
      <c r="C32" s="16">
        <f>[1]!QAA_AGG("1,2,SS6,LA,F=KCA,K=DbC,F=A,K=/LA/Ldg,F=CJO001,T=CJO001,K=/LA/AccCde,F=001/2022,T=012/2022,K=/LA/Prd,F=P,T=PINV,K=/LA/JnlTyp,F=&lt;ALL&gt;,K=/LA/Alc,F=&lt;ALL&gt;,T=&lt;ALL&gt;,K=/LA/JnlSrc,F=JONES BUSINESS SYSTEMS,T=JONES BUSINESS SYSTEMS,K=/LA/CA/Nme,E=1,O=/LA/BseAmt,XLBV"&amp;"al:6=-33654.040",)</f>
        <v>-33654.04</v>
      </c>
    </row>
    <row r="33" spans="1:3" x14ac:dyDescent="0.25">
      <c r="A33" s="9" t="s">
        <v>217</v>
      </c>
      <c r="B33" s="9" t="s">
        <v>218</v>
      </c>
      <c r="C33" s="16">
        <f>[1]!QAA_AGG("1,2,SS6,LA,F=KCA,K=DbC,F=A,K=/LA/Ldg,F=CDE080,T=CDE080,K=/LA/AccCde,F=001/2022,T=012/2022,K=/LA/Prd,F=P,T=PINV,K=/LA/JnlTyp,F=&lt;ALL&gt;,K=/LA/Alc,F=&lt;ALL&gt;,T=&lt;ALL&gt;,K=/LA/JnlSrc,F=DELPHI ADVENTURE RESORT,T=DELPHI ADVENTURE RESORT,K=/LA/CA/Nme,E=1,O=/LA/BseAmt,XL"&amp;"BVal:6=-31684.000",)</f>
        <v>-31684</v>
      </c>
    </row>
    <row r="34" spans="1:3" x14ac:dyDescent="0.25">
      <c r="A34" s="9" t="s">
        <v>92</v>
      </c>
      <c r="B34" s="9" t="s">
        <v>185</v>
      </c>
      <c r="C34" s="16">
        <f>[1]!QAA_AGG("1,2,SS6,LA,F=KCA,K=DbC,F=A,K=/LA/Ldg,F=CVO000,T=CVO000,K=/LA/AccCde,F=001/2022,T=012/2022,K=/LA/Prd,F=P,T=PINV,K=/LA/JnlTyp,F=&lt;ALL&gt;,K=/LA/Alc,F=&lt;ALL&gt;,T=&lt;ALL&gt;,K=/LA/JnlSrc,F=VODAFONE CREDIT MANAGEMENT,T=VODAFONE CREDIT MANAGEMENT,K=/LA/CA/Nme,E=1,O=/LA/Bse"&amp;"Amt,XLBVal:6=-31068.050",)</f>
        <v>-31068.05</v>
      </c>
    </row>
    <row r="35" spans="1:3" x14ac:dyDescent="0.25">
      <c r="A35" s="9" t="s">
        <v>179</v>
      </c>
      <c r="B35" s="9" t="s">
        <v>180</v>
      </c>
      <c r="C35" s="16">
        <f>[1]!QAA_AGG("1,2,SS6,LA,F=KCA,K=DbC,F=A,K=/LA/Ldg,F=CME024,T=CME024,K=/LA/AccCde,F=001/2022,T=012/2022,K=/LA/Prd,F=P,T=PINV,K=/LA/JnlTyp,F=&lt;ALL&gt;,K=/LA/Alc,F=&lt;ALL&gt;,T=&lt;ALL&gt;,K=/LA/JnlSrc,F=MEDIAVEST LTD T/A SPARK FOUNDRY,T=MEDIAVEST LTD T/A SPARK FOUNDRY,K=/LA/CA/Nme,E=1"&amp;",O=/LA/BseAmt,XLBVal:6=-30981.720",)</f>
        <v>-30981.72</v>
      </c>
    </row>
    <row r="36" spans="1:3" x14ac:dyDescent="0.25">
      <c r="A36" s="9" t="s">
        <v>181</v>
      </c>
      <c r="B36" s="9" t="s">
        <v>182</v>
      </c>
      <c r="C36" s="16">
        <f>[1]!QAA_AGG("1,2,SS6,LA,F=KCA,K=DbC,F=A,K=/LA/Ldg,F=CMC022,T=CMC022,K=/LA/AccCde,F=001/2022,T=012/2022,K=/LA/Prd,F=P,T=PINV,K=/LA/JnlTyp,F=&lt;ALL&gt;,K=/LA/Alc,F=&lt;ALL&gt;,T=&lt;ALL&gt;,K=/LA/JnlSrc,F=MCCREERY CLEANING LTD,T=MCCREERY CLEANING LTD,K=/LA/CA/Nme,E=1,O=/LA/BseAmt,XLBVal"&amp;":6=-29781.640",)</f>
        <v>-29781.64</v>
      </c>
    </row>
    <row r="37" spans="1:3" x14ac:dyDescent="0.25">
      <c r="A37" s="9" t="s">
        <v>183</v>
      </c>
      <c r="B37" s="9" t="s">
        <v>184</v>
      </c>
      <c r="C37" s="16">
        <f>[1]!QAA_AGG("1,2,SS6,LA,F=KCA,K=DbC,F=A,K=/LA/Ldg,F=CGR036,T=CGR036,K=/LA/AccCde,F=001/2022,T=012/2022,K=/LA/Prd,F=P,T=PINV,K=/LA/JnlTyp,F=&lt;ALL&gt;,K=/LA/Alc,F=&lt;ALL&gt;,T=&lt;ALL&gt;,K=/LA/JnlSrc,F=GROUND INVESTIGATIONS IRELAND,T=GROUND INVESTIGATIONS IRELAND,K=/LA/CA/Nme,E=1,O=/"&amp;"LA/BseAmt,XLBVal:6=-29707.000",)</f>
        <v>-29707</v>
      </c>
    </row>
    <row r="38" spans="1:3" x14ac:dyDescent="0.25">
      <c r="A38" s="9" t="s">
        <v>186</v>
      </c>
      <c r="B38" s="9" t="s">
        <v>21</v>
      </c>
      <c r="C38" s="16">
        <f>[1]!QAA_AGG("1,2,SS6,LA,F=KCA,K=DbC,F=A,K=/LA/Ldg,F=CBU023,T=CBU023,K=/LA/AccCde,F=001/2022,T=012/2022,K=/LA/Prd,F=P,T=PINV,K=/LA/JnlTyp,F=&lt;ALL&gt;,K=/LA/Alc,F=&lt;ALL&gt;,T=&lt;ALL&gt;,K=/LA/JnlSrc,F=BUNZL CLEANING &amp; SAFETY SUPPLIES,T=BUNZL CLEANING &amp; SAFETY SUPPLIES,K=/LA/CA/Nme,E"&amp;"=1,O=/LA/BseAmt,XLBVal:6=-28879.450",)</f>
        <v>-28879.45</v>
      </c>
    </row>
    <row r="39" spans="1:3" x14ac:dyDescent="0.25">
      <c r="A39" s="9" t="s">
        <v>187</v>
      </c>
      <c r="B39" s="9" t="s">
        <v>188</v>
      </c>
      <c r="C39" s="16">
        <f>[1]!QAA_AGG("1,2,SS6,LA,F=KCA,K=DbC,F=A,K=/LA/Ldg,F=CSO000,T=CSO000,K=/LA/AccCde,F=001/2022,T=012/2022,K=/LA/Prd,F=P,T=PINV,K=/LA/JnlTyp,F=&lt;ALL&gt;,K=/LA/Alc,F=&lt;ALL&gt;,T=&lt;ALL&gt;,K=/LA/JnlSrc,F=SOUTH EAST ELEC WHOLESALE,T=SOUTH EAST ELEC WHOLESALE,K=/LA/CA/Nme,E=1,O=/LA/BseAm"&amp;"t,XLBVal:6=-27498.000",)</f>
        <v>-27498</v>
      </c>
    </row>
    <row r="40" spans="1:3" x14ac:dyDescent="0.25">
      <c r="A40" s="9" t="s">
        <v>189</v>
      </c>
      <c r="B40" s="9" t="s">
        <v>190</v>
      </c>
      <c r="C40" s="16">
        <f>[1]!QAA_AGG("1,2,SS6,LA,F=KCA,K=DbC,F=A,K=/LA/Ldg,F=CWR000,T=CWR000,K=/LA/AccCde,F=001/2022,T=012/2022,K=/LA/Prd,F=P,T=PINV,K=/LA/JnlTyp,F=&lt;ALL&gt;,K=/LA/Alc,F=&lt;ALL&gt;,T=&lt;ALL&gt;,K=/LA/JnlSrc,F=WRIGGLE LEARNING LTD,T=WRIGGLE LEARNING LTD,K=/LA/CA/Nme,E=1,O=/LA/BseAmt,XLBVal:6"&amp;"=-26881.690",)</f>
        <v>-26881.69</v>
      </c>
    </row>
    <row r="41" spans="1:3" x14ac:dyDescent="0.25">
      <c r="A41" s="9" t="s">
        <v>191</v>
      </c>
      <c r="B41" s="9" t="s">
        <v>192</v>
      </c>
      <c r="C41" s="16">
        <f>[1]!QAA_AGG("1,2,SS6,LA,F=KCA,K=DbC,F=A,K=/LA/Ldg,F=COM006,T=COM006,K=/LA/AccCde,F=001/2022,T=012/2022,K=/LA/Prd,F=P,T=PINV,K=/LA/JnlTyp,F=&lt;ALL&gt;,K=/LA/Alc,F=&lt;ALL&gt;,T=&lt;ALL&gt;,K=/LA/JnlSrc,F=O MAHONYS BOOKSELLERS LTD,T=O MAHONYS BOOKSELLERS LTD,K=/LA/CA/Nme,E=1,O=/LA/BseAm"&amp;"t,XLBVal:6=-26729.890",)</f>
        <v>-26729.89</v>
      </c>
    </row>
    <row r="42" spans="1:3" x14ac:dyDescent="0.25">
      <c r="A42" s="9" t="s">
        <v>193</v>
      </c>
      <c r="B42" s="9" t="s">
        <v>194</v>
      </c>
      <c r="C42" s="16">
        <f>[1]!QAA_AGG("1,2,SS6,LA,F=KCA,K=DbC,F=A,K=/LA/Ldg,F=CKI045,T=CKI045,K=/LA/AccCde,F=001/2022,T=012/2022,K=/LA/Prd,F=P,T=PINV,K=/LA/JnlTyp,F=&lt;ALL&gt;,K=/LA/Alc,F=&lt;ALL&gt;,T=&lt;ALL&gt;,K=/LA/JnlSrc,F=KILKENNY SOCIAL SERVICES,T=KILKENNY SOCIAL SERVICES,K=/LA/CA/Nme,E=1,O=/LA/BseAmt,"&amp;"XLBVal:6=-24345.000",)</f>
        <v>-24345</v>
      </c>
    </row>
    <row r="43" spans="1:3" x14ac:dyDescent="0.25">
      <c r="A43" s="9" t="s">
        <v>195</v>
      </c>
      <c r="B43" s="9" t="s">
        <v>196</v>
      </c>
      <c r="C43" s="16">
        <f>[1]!QAA_AGG("1,2,SS6,LA,F=KCA,K=DbC,F=A,K=/LA/Ldg,F=CSH127,T=CSH127,K=/LA/AccCde,F=001/2022,T=012/2022,K=/LA/Prd,F=P,T=PINV,K=/LA/JnlTyp,F=&lt;ALL&gt;,K=/LA/Alc,F=&lt;ALL&gt;,T=&lt;ALL&gt;,K=/LA/JnlSrc,F=SHARPTEXT CORK LTD,T=SHARPTEXT CORK LTD,K=/LA/CA/Nme,E=1,O=/LA/BseAmt,XLBVal:6=-23"&amp;"452.510",)</f>
        <v>-23452.51</v>
      </c>
    </row>
    <row r="44" spans="1:3" x14ac:dyDescent="0.25">
      <c r="A44" s="9" t="s">
        <v>197</v>
      </c>
      <c r="B44" s="9" t="s">
        <v>198</v>
      </c>
      <c r="C44" s="16">
        <f>[1]!QAA_AGG("1,2,SS6,LA,F=KCA,K=DbC,F=A,K=/LA/Ldg,F=CJJ000,T=CJJ000,K=/LA/AccCde,F=001/2022,T=012/2022,K=/LA/Prd,F=P,T=PINV,K=/LA/JnlTyp,F=&lt;ALL&gt;,K=/LA/Alc,F=&lt;ALL&gt;,T=&lt;ALL&gt;,K=/LA/JnlSrc,F=J.J. KAVANAGH &amp; SONS LTD,T=J.J. KAVANAGH &amp; SONS LTD,K=/LA/CA/Nme,E=1,O=/LA/BseAmt,"&amp;"XLBVal:6=-22570.000",)</f>
        <v>-22570</v>
      </c>
    </row>
    <row r="45" spans="1:3" x14ac:dyDescent="0.25">
      <c r="A45" s="9" t="s">
        <v>199</v>
      </c>
      <c r="B45" s="9" t="s">
        <v>200</v>
      </c>
      <c r="C45" s="16">
        <f>[1]!QAA_AGG("1,2,SS6,LA,F=KCA,K=DbC,F=A,K=/LA/Ldg,F=CFA026,T=CFA026,K=/LA/AccCde,F=001/2022,T=012/2022,K=/LA/Prd,F=P,T=PINV,K=/LA/JnlTyp,F=&lt;ALL&gt;,K=/LA/Alc,F=&lt;ALL&gt;,T=&lt;ALL&gt;,K=/LA/JnlSrc,F=FARRELL ELECT WHOLESALE LTD T/A DOLPHIN ELECTRICAL,T=FARRELL ELECT WHOLESALE LTD T"&amp;"/A DOLPHIN ELECTRICAL,K=/LA/CA/Nme,E=1,O=/LA/BseAmt,XLBVal:6=-21984.870",)</f>
        <v>-21984.87</v>
      </c>
    </row>
    <row r="46" spans="1:3" x14ac:dyDescent="0.25">
      <c r="A46" s="9" t="s">
        <v>201</v>
      </c>
      <c r="B46" s="9" t="s">
        <v>202</v>
      </c>
      <c r="C46" s="16">
        <f>[1]!QAA_AGG("1,2,SS6,LA,F=KCA,K=DbC,F=A,K=/LA/Ldg,F=CKE051,T=CKE051,K=/LA/AccCde,F=001/2022,T=012/2022,K=/LA/Prd,F=P,T=PINV,K=/LA/JnlTyp,F=&lt;ALL&gt;,K=/LA/Alc,F=&lt;ALL&gt;,T=&lt;ALL&gt;,K=/LA/JnlSrc,F=KELLY{Cm}SWEENEY &amp; CONROY,T=KELLY{Cm}SWEENEY &amp; CONROY,K=/LA/CA/Nme,E=1,O=/LA/BseAm"&amp;"t,XLBVal:6=-21256.500",)</f>
        <v>-21256.5</v>
      </c>
    </row>
    <row r="47" spans="1:3" x14ac:dyDescent="0.25">
      <c r="A47" s="9" t="s">
        <v>203</v>
      </c>
      <c r="B47" s="9" t="s">
        <v>204</v>
      </c>
      <c r="C47" s="16">
        <f>[1]!QAA_AGG("1,2,SS6,LA,F=KCA,K=DbC,F=A,K=/LA/Ldg,F=CEI000,T=CEI000,K=/LA/AccCde,F=001/2022,T=012/2022,K=/LA/Prd,F=P,T=PINV,K=/LA/JnlTyp,F=&lt;ALL&gt;,K=/LA/Alc,F=&lt;ALL&gt;,T=&lt;ALL&gt;,K=/LA/JnlSrc,F=EIR,T=EIR,K=/LA/CA/Nme,E=1,O=/LA/BseAmt,XLBVal:6=-18080.230",)</f>
        <v>-18080.23</v>
      </c>
    </row>
    <row r="48" spans="1:3" x14ac:dyDescent="0.25">
      <c r="A48" s="9" t="s">
        <v>205</v>
      </c>
      <c r="B48" s="9" t="s">
        <v>206</v>
      </c>
      <c r="C48" s="16">
        <f>[1]!QAA_AGG("1,2,SS6,LA,F=KCA,K=DbC,F=A,K=/LA/Ldg,F=CED027,T=CED027,K=/LA/AccCde,F=001/2022,T=012/2022,K=/LA/Prd,F=P,T=PINV,K=/LA/JnlTyp,F=&lt;ALL&gt;,K=/LA/Alc,F=&lt;ALL&gt;,T=&lt;ALL&gt;,K=/LA/JnlSrc,F=EDUCATION AND TRAINING BOARDS IRELAND,T=EDUCATION AND TRAINING BOARDS IRELAND,K=/L"&amp;"A/CA/Nme,E=1,O=/LA/BseAmt,XLBVal:6=-17739.920",)</f>
        <v>-17739.919999999998</v>
      </c>
    </row>
    <row r="49" spans="1:3" x14ac:dyDescent="0.25">
      <c r="A49" s="9" t="s">
        <v>207</v>
      </c>
      <c r="B49" s="9" t="s">
        <v>124</v>
      </c>
      <c r="C49" s="16">
        <f>[1]!QAA_AGG("1,2,SS6,LA,F=KCA,K=DbC,F=A,K=/LA/Ldg,F=CSA023,T=CSA023,K=/LA/AccCde,F=001/2022,T=012/2022,K=/LA/Prd,F=P,T=PINV,K=/LA/JnlTyp,F=&lt;ALL&gt;,K=/LA/Alc,F=&lt;ALL&gt;,T=&lt;ALL&gt;,K=/LA/JnlSrc,F=SALESPULSE,T=SALESPULSE,K=/LA/CA/Nme,E=1,O=/LA/BseAmt,XLBVal:6=-17330.720",)</f>
        <v>-17330.72</v>
      </c>
    </row>
    <row r="50" spans="1:3" x14ac:dyDescent="0.25">
      <c r="A50" s="9" t="s">
        <v>208</v>
      </c>
      <c r="B50" s="9" t="s">
        <v>209</v>
      </c>
      <c r="C50" s="16">
        <f>[1]!QAA_AGG("1,2,SS6,LA,F=KCA,K=DbC,F=A,K=/LA/Ldg,F=CLY003,T=CLY003,K=/LA/AccCde,F=001/2022,T=012/2022,K=/LA/Prd,F=P,T=PINV,K=/LA/JnlTyp,F=&lt;ALL&gt;,K=/LA/Alc,F=&lt;ALL&gt;,T=&lt;ALL&gt;,K=/LA/JnlSrc,F=LYRECO IRELAND LTD.,T=LYRECO IRELAND LTD.,K=/LA/CA/Nme,E=1,O=/LA/BseAmt,XLBVal:6=-"&amp;"17274.310",)</f>
        <v>-17274.310000000001</v>
      </c>
    </row>
    <row r="51" spans="1:3" x14ac:dyDescent="0.25">
      <c r="A51" s="9" t="s">
        <v>210</v>
      </c>
      <c r="B51" s="9" t="s">
        <v>211</v>
      </c>
      <c r="C51" s="16">
        <f>[1]!QAA_AGG("1,2,SS6,LA,F=KCA,K=DbC,F=A,K=/LA/Ldg,F=CFL000,T=CFL000,K=/LA/AccCde,F=001/2022,T=012/2022,K=/LA/Prd,F=P,T=PINV,K=/LA/JnlTyp,F=&lt;ALL&gt;,K=/LA/Alc,F=&lt;ALL&gt;,T=&lt;ALL&gt;,K=/LA/JnlSrc,F=FLOGAS IRELAND LTD,T=FLOGAS IRELAND LTD,K=/LA/CA/Nme,E=1,O=/LA/BseAmt,XLBVal:6=-17"&amp;"168.510",)</f>
        <v>-17168.509999999998</v>
      </c>
    </row>
    <row r="52" spans="1:3" x14ac:dyDescent="0.25">
      <c r="A52" s="9" t="s">
        <v>212</v>
      </c>
      <c r="B52" s="9" t="s">
        <v>213</v>
      </c>
      <c r="C52" s="16">
        <f>[1]!QAA_AGG("1,2,SS6,LA,F=KCA,K=DbC,F=A,K=/LA/Ldg,F=CDR013,T=CDR013,K=/LA/AccCde,F=001/2022,T=012/2022,K=/LA/Prd,F=P,T=PINV,K=/LA/JnlTyp,F=&lt;ALL&gt;,K=/LA/Alc,F=&lt;ALL&gt;,T=&lt;ALL&gt;,K=/LA/JnlSrc,F=DRAKELANDS PROPERTIES,T=DRAKELANDS PROPERTIES,K=/LA/CA/Nme,E=1,O=/LA/BseAmt,XLBVal"&amp;":6=-16526.160",)</f>
        <v>-16526.16</v>
      </c>
    </row>
    <row r="53" spans="1:3" x14ac:dyDescent="0.25">
      <c r="A53" s="9" t="s">
        <v>214</v>
      </c>
      <c r="B53" s="9" t="s">
        <v>109</v>
      </c>
      <c r="C53" s="16">
        <f>[1]!QAA_AGG("1,2,SS6,LA,F=KCA,K=DbC,F=A,K=/LA/Ldg,F=CMI001,T=CMI001,K=/LA/AccCde,F=001/2022,T=012/2022,K=/LA/Prd,F=P,T=PINV,K=/LA/JnlTyp,F=&lt;ALL&gt;,K=/LA/Alc,F=&lt;ALL&gt;,T=&lt;ALL&gt;,K=/LA/JnlSrc,F=MIKO METALS LTD,T=MIKO METALS LTD,K=/LA/CA/Nme,E=1,O=/LA/BseAmt,XLBVal:6=-15779.72"&amp;"0",)</f>
        <v>-15779.72</v>
      </c>
    </row>
    <row r="54" spans="1:3" x14ac:dyDescent="0.25">
      <c r="A54" s="9" t="s">
        <v>215</v>
      </c>
      <c r="B54" s="9" t="s">
        <v>216</v>
      </c>
      <c r="C54" s="16">
        <f>[1]!QAA_AGG("1,2,SS6,LA,F=KCA,K=DbC,F=A,K=/LA/Ldg,F=CSG000,T=CSG000,K=/LA/AccCde,F=001/2022,T=012/2022,K=/LA/Prd,F=P,T=PINV,K=/LA/JnlTyp,F=&lt;ALL&gt;,K=/LA/Alc,F=&lt;ALL&gt;,T=&lt;ALL&gt;,K=/LA/JnlSrc,F=SG EDUCATION,T=SG EDUCATION,K=/LA/CA/Nme,E=1,O=/LA/BseAmt,XLBVal:6=-15591.100",)</f>
        <v>-15591.1</v>
      </c>
    </row>
    <row r="55" spans="1:3" x14ac:dyDescent="0.25">
      <c r="A55" s="9" t="s">
        <v>219</v>
      </c>
      <c r="B55" s="9" t="s">
        <v>220</v>
      </c>
      <c r="C55" s="16">
        <f>[1]!QAA_AGG("1,2,SS6,LA,F=KCA,K=DbC,F=A,K=/LA/Ldg,F=CBI025,T=CBI025,K=/LA/AccCde,F=001/2022,T=012/2022,K=/LA/Prd,F=P,T=PINV,K=/LA/JnlTyp,F=&lt;ALL&gt;,K=/LA/Alc,F=&lt;ALL&gt;,T=&lt;ALL&gt;,K=/LA/JnlSrc,F=BIDVEST NOONAN GROUP (ROL)LTD,T=BIDVEST NOONAN GROUP (ROL)LTD,K=/LA/CA/Nme,E=1,O=/"&amp;"LA/BseAmt,XLBVal:6=-14001.810",)</f>
        <v>-14001.81</v>
      </c>
    </row>
    <row r="56" spans="1:3" x14ac:dyDescent="0.25">
      <c r="A56" s="9" t="s">
        <v>221</v>
      </c>
      <c r="B56" s="9" t="s">
        <v>222</v>
      </c>
      <c r="C56" s="16">
        <f>[1]!QAA_AGG("1,2,SS6,LA,F=KCA,K=DbC,F=A,K=/LA/Ldg,F=CJE030,T=CJE030,K=/LA/AccCde,F=001/2022,T=012/2022,K=/LA/Prd,F=P,T=PINV,K=/LA/JnlTyp,F=&lt;ALL&gt;,K=/LA/Alc,F=&lt;ALL&gt;,T=&lt;ALL&gt;,K=/LA/JnlSrc,F=JEFF HOWES,T=JEFF HOWES,K=/LA/CA/Nme,E=1,O=/LA/BseAmt,XLBVal:6=-13300.000",)</f>
        <v>-13300</v>
      </c>
    </row>
    <row r="57" spans="1:3" x14ac:dyDescent="0.25">
      <c r="A57" s="9" t="s">
        <v>223</v>
      </c>
      <c r="B57" s="9" t="s">
        <v>224</v>
      </c>
      <c r="C57" s="16">
        <f>[1]!QAA_AGG("1,2,SS6,LA,F=KCA,K=DbC,F=A,K=/LA/Ldg,F=CME016,T=CME016,K=/LA/AccCde,F=001/2022,T=012/2022,K=/LA/Prd,F=P,T=PINV,K=/LA/JnlTyp,F=&lt;ALL&gt;,K=/LA/Alc,F=&lt;ALL&gt;,T=&lt;ALL&gt;,K=/LA/JnlSrc,F=MEALEY BUILDING CONTRACTORS LTD,T=MEALEY BUILDING CONTRACTORS LTD,K=/LA/CA/Nme,E=1"&amp;",O=/LA/BseAmt,XLBVal:6=-13232.000",)</f>
        <v>-13232</v>
      </c>
    </row>
    <row r="58" spans="1:3" x14ac:dyDescent="0.25">
      <c r="A58" s="9" t="s">
        <v>225</v>
      </c>
      <c r="B58" s="9" t="s">
        <v>226</v>
      </c>
      <c r="C58" s="16">
        <f>[1]!QAA_AGG("1,2,SS6,LA,F=KCA,K=DbC,F=A,K=/LA/Ldg,F=CVO006,T=CVO006,K=/LA/AccCde,F=001/2022,T=012/2022,K=/LA/Prd,F=P,T=PINV,K=/LA/JnlTyp,F=&lt;ALL&gt;,K=/LA/Alc,F=&lt;ALL&gt;,T=&lt;ALL&gt;,K=/LA/JnlSrc,F=VODAFONE IRELAND LIMITED,T=VODAFONE IRELAND LIMITED,K=/LA/CA/Nme,E=1,O=/LA/BseAmt,"&amp;"XLBVal:6=-13184.380",)</f>
        <v>-13184.38</v>
      </c>
    </row>
    <row r="59" spans="1:3" x14ac:dyDescent="0.25">
      <c r="A59" s="9" t="s">
        <v>227</v>
      </c>
      <c r="B59" s="9" t="s">
        <v>228</v>
      </c>
      <c r="C59" s="16">
        <f>[1]!QAA_AGG("1,2,SS6,LA,F=KCA,K=DbC,F=A,K=/LA/Ldg,F=CFO010,T=CFO010,K=/LA/AccCde,F=001/2022,T=012/2022,K=/LA/Prd,F=P,T=PINV,K=/LA/JnlTyp,F=&lt;ALL&gt;,K=/LA/Alc,F=&lt;ALL&gt;,T=&lt;ALL&gt;,K=/LA/JnlSrc,F=FOROIGE,T=FOROIGE,K=/LA/CA/Nme,E=1,O=/LA/BseAmt,XLBVal:6=-13018.000",)</f>
        <v>-13018</v>
      </c>
    </row>
    <row r="60" spans="1:3" x14ac:dyDescent="0.25">
      <c r="A60" s="9" t="s">
        <v>229</v>
      </c>
      <c r="B60" s="9" t="s">
        <v>19</v>
      </c>
      <c r="C60" s="16">
        <f>[1]!QAA_AGG("1,2,SS6,LA,F=KCA,K=DbC,F=A,K=/LA/Ldg,F=CLE001,T=CLE001,K=/LA/AccCde,F=001/2022,T=012/2022,K=/LA/Prd,F=P,T=PINV,K=/LA/JnlTyp,F=&lt;ALL&gt;,K=/LA/Alc,F=&lt;ALL&gt;,T=&lt;ALL&gt;,K=/LA/JnlSrc,F=LENNOX LABORATORY SUPPLIES LTD,T=LENNOX LABORATORY SUPPLIES LTD,K=/LA/CA/Nme,E=1,O"&amp;"=/LA/BseAmt,XLBVal:6=-12838.940",)</f>
        <v>-12838.94</v>
      </c>
    </row>
    <row r="61" spans="1:3" x14ac:dyDescent="0.25">
      <c r="A61" s="9" t="s">
        <v>230</v>
      </c>
      <c r="B61" s="9" t="s">
        <v>231</v>
      </c>
      <c r="C61" s="16">
        <f>[1]!QAA_AGG("1,2,SS6,LA,F=KCA,K=DbC,F=A,K=/LA/Ldg,F=CBR079,T=CBR079,K=/LA/AccCde,F=001/2022,T=012/2022,K=/LA/Prd,F=P,T=PINV,K=/LA/JnlTyp,F=&lt;ALL&gt;,K=/LA/Alc,F=&lt;ALL&gt;,T=&lt;ALL&gt;,K=/LA/JnlSrc,F=BRIAN DUNLOP ARCHITECTS,T=BRIAN DUNLOP ARCHITECTS,K=/LA/CA/Nme,E=1,O=/LA/BseAmt,XL"&amp;"BVal:6=-12736.160",)</f>
        <v>-12736.16</v>
      </c>
    </row>
    <row r="62" spans="1:3" x14ac:dyDescent="0.25">
      <c r="A62" s="9" t="s">
        <v>234</v>
      </c>
      <c r="B62" s="9" t="s">
        <v>235</v>
      </c>
      <c r="C62" s="16">
        <f>[1]!QAA_AGG("1,2,SS6,LA,F=KCA,K=DbC,F=A,K=/LA/Ldg,F=CGR030,T=CGR030,K=/LA/AccCde,F=001/2022,T=012/2022,K=/LA/Prd,F=P,T=PINV,K=/LA/JnlTyp,F=&lt;ALL&gt;,K=/LA/Alc,F=&lt;ALL&gt;,T=&lt;ALL&gt;,K=/LA/JnlSrc,F=GREENSTAR,T=GREENSTAR,K=/LA/CA/Nme,E=1,O=/LA/BseAmt,XLBVal:6=-12112.160",)</f>
        <v>-12112.16</v>
      </c>
    </row>
    <row r="63" spans="1:3" x14ac:dyDescent="0.25">
      <c r="A63" s="9" t="s">
        <v>232</v>
      </c>
      <c r="B63" s="9" t="s">
        <v>233</v>
      </c>
      <c r="C63" s="16">
        <f>[1]!QAA_AGG("1,2,SS6,LA,F=KCA,K=DbC,F=A,K=/LA/Ldg,F=CWA038,T=CWA038,K=/LA/AccCde,F=001/2022,T=012/2022,K=/LA/Prd,F=P,T=PINV,K=/LA/JnlTyp,F=&lt;ALL&gt;,K=/LA/Alc,F=&lt;ALL&gt;,T=&lt;ALL&gt;,K=/LA/JnlSrc,F=WAY2PAY LTD,T=WAY2PAY LTD,K=/LA/CA/Nme,E=1,O=/LA/BseAmt,XLBVal:6=-12077.870",)</f>
        <v>-12077.87</v>
      </c>
    </row>
    <row r="64" spans="1:3" x14ac:dyDescent="0.25">
      <c r="A64" s="9" t="s">
        <v>236</v>
      </c>
      <c r="B64" s="9" t="s">
        <v>237</v>
      </c>
      <c r="C64" s="16">
        <f>[1]!QAA_AGG("1,2,SS6,LA,F=KCA,K=DbC,F=A,K=/LA/Ldg,F=CSC021,T=CSC021,K=/LA/AccCde,F=001/2022,T=012/2022,K=/LA/Prd,F=P,T=PINV,K=/LA/JnlTyp,F=&lt;ALL&gt;,K=/LA/Alc,F=&lt;ALL&gt;,T=&lt;ALL&gt;,K=/LA/JnlSrc,F=SCHOOL THING LIMITED (VS WARE),T=SCHOOL THING LIMITED (VS WARE),K=/LA/CA/Nme,E=1,O"&amp;"=/LA/BseAmt,XLBVal:6=-11662.400",)</f>
        <v>-11662.4</v>
      </c>
    </row>
    <row r="65" spans="1:3" x14ac:dyDescent="0.25">
      <c r="A65" s="9" t="s">
        <v>119</v>
      </c>
      <c r="B65" s="9" t="s">
        <v>238</v>
      </c>
      <c r="C65" s="16">
        <f>[1]!QAA_AGG("1,2,SS6,LA,F=KCA,K=DbC,F=A,K=/LA/Ldg,F=CPI013,T=CPI013,K=/LA/AccCde,F=001/2022,T=012/2022,K=/LA/Prd,F=P,T=PINV,K=/LA/JnlTyp,F=&lt;ALL&gt;,K=/LA/Alc,F=&lt;ALL&gt;,T=&lt;ALL&gt;,K=/LA/JnlSrc,F=PIERCE KAV. PROPERTIES T/A PIERCE KAVANAGH COACHES,T=PIERCE KAV. PROPERTIES T/A PI"&amp;"ERCE KAVANAGH COACHES,K=/LA/CA/Nme,E=1,O=/LA/BseAmt,XLBVal:6=-11030.000",)</f>
        <v>-11030</v>
      </c>
    </row>
    <row r="66" spans="1:3" x14ac:dyDescent="0.25">
      <c r="A66" s="9" t="s">
        <v>239</v>
      </c>
      <c r="B66" s="9" t="s">
        <v>240</v>
      </c>
      <c r="C66" s="16">
        <f>[1]!QAA_AGG("1,2,SS6,LA,F=KCA,K=DbC,F=A,K=/LA/Ldg,F=CMO051,T=CMO051,K=/LA/AccCde,F=001/2022,T=012/2022,K=/LA/Prd,F=P,T=PINV,K=/LA/JnlTyp,F=&lt;ALL&gt;,K=/LA/Alc,F=&lt;ALL&gt;,T=&lt;ALL&gt;,K=/LA/JnlSrc,F=MORGAN DOYLE,T=MORGAN DOYLE,K=/LA/CA/Nme,E=1,O=/LA/BseAmt,XLBVal:6=-11000.000",)</f>
        <v>-11000</v>
      </c>
    </row>
    <row r="67" spans="1:3" x14ac:dyDescent="0.25">
      <c r="A67" s="9" t="s">
        <v>243</v>
      </c>
      <c r="B67" s="9" t="s">
        <v>244</v>
      </c>
      <c r="C67" s="16">
        <f>[1]!QAA_AGG("1,2,SS6,LA,F=KCA,K=DbC,F=A,K=/LA/Ldg,F=CIN007,T=CIN007,K=/LA/AccCde,F=001/2022,T=012/2022,K=/LA/Prd,F=P,T=PINV,K=/LA/JnlTyp,F=&lt;ALL&gt;,K=/LA/Alc,F=&lt;ALL&gt;,T=&lt;ALL&gt;,K=/LA/JnlSrc,F=INTERNATIONAL THERAPY EXAMINATION,T=INTERNATIONAL THERAPY EXAMINATION,K=/LA/CA/Nme"&amp;",E=1,O=/LA/BseAmt,XLBVal:6=-10937.000",)</f>
        <v>-10937</v>
      </c>
    </row>
    <row r="68" spans="1:3" x14ac:dyDescent="0.25">
      <c r="A68" s="9" t="s">
        <v>241</v>
      </c>
      <c r="B68" s="9" t="s">
        <v>242</v>
      </c>
      <c r="C68" s="16">
        <f>[1]!QAA_AGG("1,2,SS6,LA,F=KCA,K=DbC,F=A,K=/LA/Ldg,F=CST006,T=CST006,K=/LA/AccCde,F=001/2022,T=012/2022,K=/LA/Prd,F=P,T=PINV,K=/LA/JnlTyp,F=&lt;ALL&gt;,K=/LA/Alc,F=&lt;ALL&gt;,T=&lt;ALL&gt;,K=/LA/JnlSrc,F=STRAHAN DISTRIBUTORS,T=STRAHAN DISTRIBUTORS,K=/LA/CA/Nme,E=1,O=/LA/BseAmt,XLBVal:6"&amp;"=-10910.540",)</f>
        <v>-10910.54</v>
      </c>
    </row>
    <row r="69" spans="1:3" x14ac:dyDescent="0.25">
      <c r="A69" s="9" t="s">
        <v>246</v>
      </c>
      <c r="B69" s="9" t="s">
        <v>247</v>
      </c>
      <c r="C69" s="16">
        <f>[1]!QAA_AGG("1,2,SS6,LA,F=KCA,K=DbC,F=A,K=/LA/Ldg,F=CCO109,T=CCO109,K=/LA/AccCde,F=001/2022,T=012/2022,K=/LA/Prd,F=P,T=PINV,K=/LA/JnlTyp,F=&lt;ALL&gt;,K=/LA/Alc,F=&lt;ALL&gt;,T=&lt;ALL&gt;,K=/LA/JnlSrc,F=COMERAGH COACHES,T=COMERAGH COACHES,K=/LA/CA/Nme,E=1,O=/LA/BseAmt,XLBVal:6=-10721."&amp;"500",)</f>
        <v>-10721.5</v>
      </c>
    </row>
    <row r="70" spans="1:3" x14ac:dyDescent="0.25">
      <c r="A70" s="9" t="s">
        <v>245</v>
      </c>
      <c r="B70" s="9" t="s">
        <v>25</v>
      </c>
      <c r="C70" s="16">
        <f>[1]!QAA_AGG("1,2,SS6,LA,F=KCA,K=DbC,F=A,K=/LA/Ldg,F=CAN112,T=CAN112,K=/LA/AccCde,F=001/2022,T=012/2022,K=/LA/Prd,F=P,T=PINV,K=/LA/JnlTyp,F=&lt;ALL&gt;,K=/LA/Alc,F=&lt;ALL&gt;,T=&lt;ALL&gt;,K=/LA/JnlSrc,F=ANTALIS LTD,T=ANTALIS LTD,K=/LA/CA/Nme,E=1,O=/LA/BseAmt,XLBVal:6=-10208.100",)</f>
        <v>-10208.1</v>
      </c>
    </row>
    <row r="71" spans="1:3" x14ac:dyDescent="0.25">
      <c r="A71" s="9" t="s">
        <v>250</v>
      </c>
      <c r="B71" s="9" t="s">
        <v>251</v>
      </c>
      <c r="C71" s="16">
        <f>[1]!QAA_AGG("1,2,SS6,LA,F=KCA,K=DbC,F=A,K=/LA/Ldg,F=CMI162,T=CMI162,K=/LA/AccCde,F=001/2022,T=012/2022,K=/LA/Prd,F=P,T=PINV,K=/LA/JnlTyp,F=&lt;ALL&gt;,K=/LA/Alc,F=&lt;ALL&gt;,T=&lt;ALL&gt;,K=/LA/JnlSrc,F=MICHAEL FLANNERY CATERING SUPPLIES,T=MICHAEL FLANNERY CATERING SUPPLIES,K=/LA/CA/N"&amp;"me,E=1,O=/LA/BseAmt,XLBVal:6=-9916.530",)</f>
        <v>-9916.5300000000007</v>
      </c>
    </row>
    <row r="72" spans="1:3" x14ac:dyDescent="0.25">
      <c r="A72" s="9" t="s">
        <v>248</v>
      </c>
      <c r="B72" s="9" t="s">
        <v>249</v>
      </c>
      <c r="C72" s="16">
        <f>[1]!QAA_AGG("1,2,SS6,LA,F=KCA,K=DbC,F=A,K=/LA/Ldg,F=CSO043,T=CSO043,K=/LA/AccCde,F=001/2022,T=012/2022,K=/LA/Prd,F=P,T=PINV,K=/LA/JnlTyp,F=&lt;ALL&gt;,K=/LA/Alc,F=&lt;ALL&gt;,T=&lt;ALL&gt;,K=/LA/JnlSrc,F=SOLVE IT MANAGEMENT LTD,T=SOLVE IT MANAGEMENT LTD,K=/LA/CA/Nme,E=1,O=/LA/BseAmt,XL"&amp;"BVal:6=-9700.880",)</f>
        <v>-9700.8799999999992</v>
      </c>
    </row>
    <row r="73" spans="1:3" x14ac:dyDescent="0.25">
      <c r="A73" s="9" t="s">
        <v>252</v>
      </c>
      <c r="B73" s="9" t="s">
        <v>253</v>
      </c>
      <c r="C73" s="16">
        <f>[1]!QAA_AGG("1,2,SS6,LA,F=KCA,K=DbC,F=A,K=/LA/Ldg,F=CRE063,T=CRE063,K=/LA/AccCde,F=001/2022,T=012/2022,K=/LA/Prd,F=P,T=PINV,K=/LA/JnlTyp,F=&lt;ALL&gt;,K=/LA/Alc,F=&lt;ALL&gt;,T=&lt;ALL&gt;,K=/LA/JnlSrc,F=REUSABLE PLASTIC LTD/IRISH RECYCLED PROD,T=REUSABLE PLASTIC LTD/IRISH RECYCLED PRO"&amp;"D,K=/LA/CA/Nme,E=1,O=/LA/BseAmt,XLBVal:6=-9670.000",)</f>
        <v>-9670</v>
      </c>
    </row>
    <row r="74" spans="1:3" x14ac:dyDescent="0.25">
      <c r="A74" s="9" t="s">
        <v>1507</v>
      </c>
      <c r="B74" s="9" t="s">
        <v>1508</v>
      </c>
      <c r="C74" s="16">
        <f>[1]!QAA_AGG("1,2,SS6,LA,F=KCA,K=DbC,F=A,K=/LA/Ldg,F=CMA407,T=CMA407,K=/LA/AccCde,F=001/2022,T=012/2022,K=/LA/Prd,F=P,T=PINV,K=/LA/JnlTyp,F=&lt;ALL&gt;,K=/LA/Alc,F=&lt;ALL&gt;,T=&lt;ALL&gt;,K=/LA/JnlSrc,F=MANTECH MACHINERY LTD,T=MANTECH MACHINERY LTD,K=/LA/CA/Nme,E=1,O=/LA/BseAmt,XLBVal"&amp;":6=-9557.100",)</f>
        <v>-9557.1</v>
      </c>
    </row>
    <row r="75" spans="1:3" x14ac:dyDescent="0.25">
      <c r="A75" s="9" t="s">
        <v>256</v>
      </c>
      <c r="B75" s="9" t="s">
        <v>257</v>
      </c>
      <c r="C75" s="16">
        <f>[1]!QAA_AGG("1,2,SS6,LA,F=KCA,K=DbC,F=A,K=/LA/Ldg,F=CTA017,T=CTA017,K=/LA/AccCde,F=001/2022,T=012/2022,K=/LA/Prd,F=P,T=PINV,K=/LA/JnlTyp,F=&lt;ALL&gt;,K=/LA/Alc,F=&lt;ALL&gt;,T=&lt;ALL&gt;,K=/LA/JnlSrc,F=TARA ART SUPPLIES,T=TARA ART SUPPLIES,K=/LA/CA/Nme,E=1,O=/LA/BseAmt,XLBVal:6=-9124"&amp;".500",)</f>
        <v>-9124.5</v>
      </c>
    </row>
    <row r="76" spans="1:3" x14ac:dyDescent="0.25">
      <c r="A76" s="9" t="s">
        <v>254</v>
      </c>
      <c r="B76" s="9" t="s">
        <v>255</v>
      </c>
      <c r="C76" s="16">
        <f>[1]!QAA_AGG("1,2,SS6,LA,F=KCA,K=DbC,F=A,K=/LA/Ldg,F=CAI057,T=CAI057,K=/LA/AccCde,F=001/2022,T=012/2022,K=/LA/Prd,F=P,T=PINV,K=/LA/JnlTyp,F=&lt;ALL&gt;,K=/LA/Alc,F=&lt;ALL&gt;,T=&lt;ALL&gt;,K=/LA/JnlSrc,F=AISLINN AISEIRI TREATMENT CENTRE,T=AISLINN AISEIRI TREATMENT CENTRE,K=/LA/CA/Nme,E"&amp;"=1,O=/LA/BseAmt,XLBVal:6=-9068.160",)</f>
        <v>-9068.16</v>
      </c>
    </row>
    <row r="77" spans="1:3" x14ac:dyDescent="0.25">
      <c r="A77" s="9" t="s">
        <v>258</v>
      </c>
      <c r="B77" s="9" t="s">
        <v>259</v>
      </c>
      <c r="C77" s="16">
        <f>[1]!QAA_AGG("1,2,SS6,LA,F=KCA,K=DbC,F=A,K=/LA/Ldg,F=CFE000,T=CFE000,K=/LA/AccCde,F=001/2022,T=012/2022,K=/LA/Prd,F=P,T=PINV,K=/LA/JnlTyp,F=&lt;ALL&gt;,K=/LA/Alc,F=&lt;ALL&gt;,T=&lt;ALL&gt;,K=/LA/JnlSrc,F=FEXCO COMMERCIAL FX SERVICES,T=FEXCO COMMERCIAL FX SERVICES,K=/LA/CA/Nme,E=1,O=/LA"&amp;"/BseAmt,XLBVal:6=-8921.470",)</f>
        <v>-8921.4699999999993</v>
      </c>
    </row>
    <row r="78" spans="1:3" x14ac:dyDescent="0.25">
      <c r="A78" s="9" t="s">
        <v>260</v>
      </c>
      <c r="B78" s="9" t="s">
        <v>261</v>
      </c>
      <c r="C78" s="16">
        <f>[1]!QAA_AGG("1,2,SS6,LA,F=KCA,K=DbC,F=A,K=/LA/Ldg,F=CJI014,T=CJI014,K=/LA/AccCde,F=001/2022,T=012/2022,K=/LA/Prd,F=P,T=PINV,K=/LA/JnlTyp,F=&lt;ALL&gt;,K=/LA/Alc,F=&lt;ALL&gt;,T=&lt;ALL&gt;,K=/LA/JnlSrc,F=JIM CAMPION,T=JIM CAMPION,K=/LA/CA/Nme,E=1,O=/LA/BseAmt,XLBVal:6=-8750.000",)</f>
        <v>-8750</v>
      </c>
    </row>
    <row r="79" spans="1:3" x14ac:dyDescent="0.25">
      <c r="A79" s="9" t="s">
        <v>262</v>
      </c>
      <c r="B79" s="9" t="s">
        <v>263</v>
      </c>
      <c r="C79" s="16">
        <f>[1]!QAA_AGG("1,2,SS6,LA,F=KCA,K=DbC,F=A,K=/LA/Ldg,F=CDS000,T=CDS000,K=/LA/AccCde,F=001/2022,T=012/2022,K=/LA/Prd,F=P,T=PINV,K=/LA/JnlTyp,F=&lt;ALL&gt;,K=/LA/Alc,F=&lt;ALL&gt;,T=&lt;ALL&gt;,K=/LA/JnlSrc,F=DS MORETTE SPORTSWEAR LTD,T=DS MORETTE SPORTSWEAR LTD,K=/LA/CA/Nme,E=1,O=/LA/BseAm"&amp;"t,XLBVal:6=-8512.440",)</f>
        <v>-8512.44</v>
      </c>
    </row>
    <row r="80" spans="1:3" x14ac:dyDescent="0.25">
      <c r="A80" s="9" t="s">
        <v>264</v>
      </c>
      <c r="B80" s="9" t="s">
        <v>265</v>
      </c>
      <c r="C80" s="16">
        <f>[1]!QAA_AGG("1,2,SS6,LA,F=KCA,K=DbC,F=A,K=/LA/Ldg,F=CVI021,T=CVI021,K=/LA/AccCde,F=001/2022,T=012/2022,K=/LA/Prd,F=P,T=PINV,K=/LA/JnlTyp,F=&lt;ALL&gt;,K=/LA/Alc,F=&lt;ALL&gt;,T=&lt;ALL&gt;,K=/LA/JnlSrc,F=VINCENT FOLEY CONSTRUCTION,T=VINCENT FOLEY CONSTRUCTION,K=/LA/CA/Nme,E=1,O=/LA/Bse"&amp;"Amt,XLBVal:6=-8331.500",)</f>
        <v>-8331.5</v>
      </c>
    </row>
    <row r="81" spans="1:3" x14ac:dyDescent="0.25">
      <c r="A81" s="9" t="s">
        <v>266</v>
      </c>
      <c r="B81" s="9" t="s">
        <v>267</v>
      </c>
      <c r="C81" s="16">
        <f>[1]!QAA_AGG("1,2,SS6,LA,F=KCA,K=DbC,F=A,K=/LA/Ldg,F=CBE036,T=CBE036,K=/LA/AccCde,F=001/2022,T=012/2022,K=/LA/Prd,F=P,T=PINV,K=/LA/JnlTyp,F=&lt;ALL&gt;,K=/LA/Alc,F=&lt;ALL&gt;,T=&lt;ALL&gt;,K=/LA/JnlSrc,F=BERNARD KAVANAGH AND SONS LTD,T=BERNARD KAVANAGH AND SONS LTD,K=/LA/CA/Nme,E=1,O=/"&amp;"LA/BseAmt,XLBVal:6=-8275.000",)</f>
        <v>-8275</v>
      </c>
    </row>
    <row r="82" spans="1:3" x14ac:dyDescent="0.25">
      <c r="A82" s="9" t="s">
        <v>268</v>
      </c>
      <c r="B82" s="9" t="s">
        <v>66</v>
      </c>
      <c r="C82" s="16">
        <f>[1]!QAA_AGG("1,2,SS6,LA,F=KCA,K=DbC,F=A,K=/LA/Ldg,F=CIR057,T=CIR057,K=/LA/AccCde,F=001/2022,T=012/2022,K=/LA/Prd,F=P,T=PINV,K=/LA/JnlTyp,F=&lt;ALL&gt;,K=/LA/Alc,F=&lt;ALL&gt;,T=&lt;ALL&gt;,K=/LA/JnlSrc,F=IRISH WATER,T=IRISH WATER,K=/LA/CA/Nme,E=1,O=/LA/BseAmt,XLBVal:6=-8228.510",)</f>
        <v>-8228.51</v>
      </c>
    </row>
    <row r="83" spans="1:3" x14ac:dyDescent="0.25">
      <c r="A83" s="9" t="s">
        <v>269</v>
      </c>
      <c r="B83" s="9" t="s">
        <v>270</v>
      </c>
      <c r="C83" s="16">
        <f>[1]!QAA_AGG("1,2,SS6,LA,F=KCA,K=DbC,F=A,K=/LA/Ldg,F=CMC014,T=CMC014,K=/LA/AccCde,F=001/2022,T=012/2022,K=/LA/Prd,F=P,T=PINV,K=/LA/JnlTyp,F=&lt;ALL&gt;,K=/LA/Alc,F=&lt;ALL&gt;,T=&lt;ALL&gt;,K=/LA/JnlSrc,F=MCSPORT,T=MCSPORT,K=/LA/CA/Nme,E=1,O=/LA/BseAmt,XLBVal:6=-8180.070",)</f>
        <v>-8180.07</v>
      </c>
    </row>
    <row r="84" spans="1:3" x14ac:dyDescent="0.25">
      <c r="A84" s="9" t="s">
        <v>271</v>
      </c>
      <c r="B84" s="9" t="s">
        <v>272</v>
      </c>
      <c r="C84" s="16">
        <f>[1]!QAA_AGG("1,2,SS6,LA,F=KCA,K=DbC,F=A,K=/LA/Ldg,F=CST000,T=CST000,K=/LA/AccCde,F=001/2022,T=012/2022,K=/LA/Prd,F=P,T=PINV,K=/LA/JnlTyp,F=&lt;ALL&gt;,K=/LA/Alc,F=&lt;ALL&gt;,T=&lt;ALL&gt;,K=/LA/JnlSrc,F=ST CATHERINE'S,T=ST CATHERINE'S,K=/LA/CA/Nme,E=1,O=/LA/BseAmt,XLBVal:6=-8157.940",)</f>
        <v>-8157.94</v>
      </c>
    </row>
    <row r="85" spans="1:3" x14ac:dyDescent="0.25">
      <c r="A85" s="9" t="s">
        <v>273</v>
      </c>
      <c r="B85" s="9" t="s">
        <v>274</v>
      </c>
      <c r="C85" s="16">
        <f>[1]!QAA_AGG("1,2,SS6,LA,F=KCA,K=DbC,F=A,K=/LA/Ldg,F=CDU019,T=CDU019,K=/LA/AccCde,F=001/2022,T=012/2022,K=/LA/Prd,F=P,T=PINV,K=/LA/JnlTyp,F=&lt;ALL&gt;,K=/LA/Alc,F=&lt;ALL&gt;,T=&lt;ALL&gt;,K=/LA/JnlSrc,F=DUGGAN COACHES,T=DUGGAN COACHES,K=/LA/CA/Nme,E=1,O=/LA/BseAmt,XLBVal:6=-8085.000",)</f>
        <v>-8085</v>
      </c>
    </row>
    <row r="86" spans="1:3" x14ac:dyDescent="0.25">
      <c r="A86" s="9" t="s">
        <v>275</v>
      </c>
      <c r="B86" s="9" t="s">
        <v>276</v>
      </c>
      <c r="C86" s="16">
        <f>[1]!QAA_AGG("1,2,SS6,LA,F=KCA,K=DbC,F=A,K=/LA/Ldg,F=CSP006,T=CSP006,K=/LA/AccCde,F=001/2022,T=012/2022,K=/LA/Prd,F=P,T=PINV,K=/LA/JnlTyp,F=&lt;ALL&gt;,K=/LA/Alc,F=&lt;ALL&gt;,T=&lt;ALL&gt;,K=/LA/JnlSrc,F=SPECIALIST CRAFTS IRE,T=SPECIALIST CRAFTS IRE,K=/LA/CA/Nme,E=1,O=/LA/BseAmt,XLBVal"&amp;":6=-7903.490",)</f>
        <v>-7903.49</v>
      </c>
    </row>
    <row r="87" spans="1:3" x14ac:dyDescent="0.25">
      <c r="A87" s="9" t="s">
        <v>277</v>
      </c>
      <c r="B87" s="9" t="s">
        <v>278</v>
      </c>
      <c r="C87" s="16">
        <f>[1]!QAA_AGG("1,2,SS6,LA,F=KCA,K=DbC,F=A,K=/LA/Ldg,F=CST058,T=CST058,K=/LA/AccCde,F=001/2022,T=012/2022,K=/LA/Prd,F=P,T=PINV,K=/LA/JnlTyp,F=&lt;ALL&gt;,K=/LA/Alc,F=&lt;ALL&gt;,T=&lt;ALL&gt;,K=/LA/JnlSrc,F=ST STEPHEN'S BNS,T=ST STEPHEN'S BNS,K=/LA/CA/Nme,E=1,O=/LA/BseAmt,XLBVal:6=-7700.0"&amp;"00",)</f>
        <v>-7700</v>
      </c>
    </row>
    <row r="88" spans="1:3" x14ac:dyDescent="0.25">
      <c r="A88" s="9" t="s">
        <v>120</v>
      </c>
      <c r="B88" s="9" t="s">
        <v>279</v>
      </c>
      <c r="C88" s="16">
        <f>[1]!QAA_AGG("1,2,SS6,LA,F=KCA,K=DbC,F=A,K=/LA/Ldg,F=CRO049,T=CRO049,K=/LA/AccCde,F=001/2022,T=012/2022,K=/LA/Prd,F=P,T=PINV,K=/LA/JnlTyp,F=&lt;ALL&gt;,K=/LA/Alc,F=&lt;ALL&gt;,T=&lt;ALL&gt;,K=/LA/JnlSrc,F=ACTAVO  (FORMALLY ROANKABIN),T=ACTAVO  (FORMALLY ROANKABIN),K=/LA/CA/Nme,E=1,O=/LA"&amp;"/BseAmt,XLBVal:6=-7675.200",)</f>
        <v>-7675.2</v>
      </c>
    </row>
    <row r="89" spans="1:3" x14ac:dyDescent="0.25">
      <c r="A89" s="9" t="s">
        <v>307</v>
      </c>
      <c r="B89" s="9" t="s">
        <v>308</v>
      </c>
      <c r="C89" s="16">
        <f>[1]!QAA_AGG("1,2,SS6,LA,F=KCA,K=DbC,F=A,K=/LA/Ldg,F=CRE003,T=CRE003,K=/LA/AccCde,F=001/2022,T=012/2022,K=/LA/Prd,F=P,T=PINV,K=/LA/JnlTyp,F=&lt;ALL&gt;,K=/LA/Alc,F=&lt;ALL&gt;,T=&lt;ALL&gt;,K=/LA/JnlSrc,F=RENTOKIL INITIAL T/A CANNON HYGIENE,T=RENTOKIL INITIAL T/A CANNON HYGIENE,K=/LA/CA"&amp;"/Nme,E=1,O=/LA/BseAmt,XLBVal:6=-7631.230",)</f>
        <v>-7631.23</v>
      </c>
    </row>
    <row r="90" spans="1:3" x14ac:dyDescent="0.25">
      <c r="A90" s="9" t="s">
        <v>280</v>
      </c>
      <c r="B90" s="9" t="s">
        <v>281</v>
      </c>
      <c r="C90" s="16">
        <f>[1]!QAA_AGG("1,2,SS6,LA,F=KCA,K=DbC,F=A,K=/LA/Ldg,F=CTH013,T=CTH013,K=/LA/AccCde,F=001/2022,T=012/2022,K=/LA/Prd,F=P,T=PINV,K=/LA/JnlTyp,F=&lt;ALL&gt;,K=/LA/Alc,F=&lt;ALL&gt;,T=&lt;ALL&gt;,K=/LA/JnlSrc,F=THE IRISH COPYRIGHT,T=THE IRISH COPYRIGHT,K=/LA/CA/Nme,E=1,O=/LA/BseAmt,XLBVal:6=-"&amp;"7621.000",)</f>
        <v>-7621</v>
      </c>
    </row>
    <row r="91" spans="1:3" x14ac:dyDescent="0.25">
      <c r="A91" s="9" t="s">
        <v>286</v>
      </c>
      <c r="B91" s="9" t="s">
        <v>287</v>
      </c>
      <c r="C91" s="16">
        <f>[1]!QAA_AGG("1,2,SS6,LA,F=KCA,K=DbC,F=A,K=/LA/Ldg,F=CJR001,T=CJR001,K=/LA/AccCde,F=001/2022,T=012/2022,K=/LA/Prd,F=P,T=PINV,K=/LA/JnlTyp,F=&lt;ALL&gt;,K=/LA/Alc,F=&lt;ALL&gt;,T=&lt;ALL&gt;,K=/LA/JnlSrc,F=JRD WALLACE,T=JRD WALLACE,K=/LA/CA/Nme,E=1,O=/LA/BseAmt,XLBVal:6=-7500.000",)</f>
        <v>-7500</v>
      </c>
    </row>
    <row r="92" spans="1:3" x14ac:dyDescent="0.25">
      <c r="A92" s="9" t="s">
        <v>284</v>
      </c>
      <c r="B92" s="9" t="s">
        <v>285</v>
      </c>
      <c r="C92" s="16">
        <f>[1]!QAA_AGG("1,2,SS6,LA,F=KCA,K=DbC,F=A,K=/LA/Ldg,F=CCU011,T=CCU011,K=/LA/AccCde,F=001/2022,T=012/2022,K=/LA/Prd,F=P,T=PINV,K=/LA/JnlTyp,F=&lt;ALL&gt;,K=/LA/Alc,F=&lt;ALL&gt;,T=&lt;ALL&gt;,K=/LA/JnlSrc,F=CURRAN FOODS,T=CURRAN FOODS,K=/LA/CA/Nme,E=1,O=/LA/BseAmt,XLBVal:6=-7487.360",)</f>
        <v>-7487.36</v>
      </c>
    </row>
    <row r="93" spans="1:3" x14ac:dyDescent="0.25">
      <c r="A93" s="9" t="s">
        <v>61</v>
      </c>
      <c r="B93" s="9" t="s">
        <v>62</v>
      </c>
      <c r="C93" s="16">
        <f>[1]!QAA_AGG("1,2,SS6,LA,F=KCA,K=DbC,F=A,K=/LA/Ldg,F=CAN040,T=CAN040,K=/LA/AccCde,F=001/2022,T=012/2022,K=/LA/Prd,F=P,T=PINV,K=/LA/JnlTyp,F=&lt;ALL&gt;,K=/LA/Alc,F=&lt;ALL&gt;,T=&lt;ALL&gt;,K=/LA/JnlSrc,F=AN POST,T=AN POST,K=/LA/CA/Nme,E=1,O=/LA/BseAmt,XLBVal:6=-7465.000",)</f>
        <v>-7465</v>
      </c>
    </row>
    <row r="94" spans="1:3" x14ac:dyDescent="0.25">
      <c r="A94" s="9" t="s">
        <v>282</v>
      </c>
      <c r="B94" s="9" t="s">
        <v>283</v>
      </c>
      <c r="C94" s="16">
        <f>[1]!QAA_AGG("1,2,SS6,LA,F=KCA,K=DbC,F=A,K=/LA/Ldg,F=CPI002,T=CPI002,K=/LA/AccCde,F=001/2022,T=012/2022,K=/LA/Prd,F=P,T=PINV,K=/LA/JnlTyp,F=&lt;ALL&gt;,K=/LA/Alc,F=&lt;ALL&gt;,T=&lt;ALL&gt;,K=/LA/JnlSrc,F=PILTOWN COACHES,T=PILTOWN COACHES,K=/LA/CA/Nme,E=1,O=/LA/BseAmt,XLBVal:6=-7425.000"&amp;"",)</f>
        <v>-7425</v>
      </c>
    </row>
    <row r="95" spans="1:3" x14ac:dyDescent="0.25">
      <c r="A95" s="9" t="s">
        <v>288</v>
      </c>
      <c r="B95" s="9" t="s">
        <v>289</v>
      </c>
      <c r="C95" s="16">
        <f>[1]!QAA_AGG("1,2,SS6,LA,F=KCA,K=DbC,F=A,K=/LA/Ldg,F=CNE006,T=CNE006,K=/LA/AccCde,F=001/2022,T=012/2022,K=/LA/Prd,F=P,T=PINV,K=/LA/JnlTyp,F=&lt;ALL&gt;,K=/LA/Alc,F=&lt;ALL&gt;,T=&lt;ALL&gt;,K=/LA/JnlSrc,F=NEOPOST IRELAND POSTAGE LTD (QUADIENT),T=NEOPOST IRELAND POSTAGE LTD (QUADIENT),K="&amp;"/LA/CA/Nme,E=1,O=/LA/BseAmt,XLBVal:6=-7401.610",)</f>
        <v>-7401.61</v>
      </c>
    </row>
    <row r="96" spans="1:3" x14ac:dyDescent="0.25">
      <c r="A96" s="9" t="s">
        <v>290</v>
      </c>
      <c r="B96" s="9" t="s">
        <v>291</v>
      </c>
      <c r="C96" s="16">
        <f>[1]!QAA_AGG("1,2,SS6,LA,F=KCA,K=DbC,F=A,K=/LA/Ldg,F=CSE050,T=CSE050,K=/LA/AccCde,F=001/2022,T=012/2022,K=/LA/Prd,F=P,T=PINV,K=/LA/JnlTyp,F=&lt;ALL&gt;,K=/LA/Alc,F=&lt;ALL&gt;,T=&lt;ALL&gt;,K=/LA/JnlSrc,F=SEVILLE LODGE TRUST,T=SEVILLE LODGE TRUST,K=/LA/CA/Nme,E=1,O=/LA/BseAmt,XLBVal:6=-"&amp;"7344.000",)</f>
        <v>-7344</v>
      </c>
    </row>
    <row r="97" spans="1:3" x14ac:dyDescent="0.25">
      <c r="A97" s="9" t="s">
        <v>292</v>
      </c>
      <c r="B97" s="9" t="s">
        <v>293</v>
      </c>
      <c r="C97" s="16">
        <f>[1]!QAA_AGG("1,2,SS6,LA,F=KCA,K=DbC,F=A,K=/LA/Ldg,F=CAQ001,T=CAQ001,K=/LA/AccCde,F=001/2022,T=012/2022,K=/LA/Prd,F=P,T=PINV,K=/LA/JnlTyp,F=&lt;ALL&gt;,K=/LA/Alc,F=&lt;ALL&gt;,T=&lt;ALL&gt;,K=/LA/JnlSrc,F=AQUA FIRE PREVENTION LTD,T=AQUA FIRE PREVENTION LTD,K=/LA/CA/Nme,E=1,O=/LA/BseAmt,"&amp;"XLBVal:6=-7084.720",)</f>
        <v>-7084.72</v>
      </c>
    </row>
    <row r="98" spans="1:3" x14ac:dyDescent="0.25">
      <c r="A98" s="9" t="s">
        <v>295</v>
      </c>
      <c r="B98" s="9" t="s">
        <v>296</v>
      </c>
      <c r="C98" s="16">
        <f>[1]!QAA_AGG("1,2,SS6,LA,F=KCA,K=DbC,F=A,K=/LA/Ldg,F=CDB002,T=CDB002,K=/LA/AccCde,F=001/2022,T=012/2022,K=/LA/Prd,F=P,T=PINV,K=/LA/JnlTyp,F=&lt;ALL&gt;,K=/LA/Alc,F=&lt;ALL&gt;,T=&lt;ALL&gt;,K=/LA/JnlSrc,F=D. BRENNAN &amp; ASSOCIATES,T=D. BRENNAN &amp; ASSOCIATES,K=/LA/CA/Nme,E=1,O=/LA/BseAmt,XL"&amp;"BVal:6=-6952.500",)</f>
        <v>-6952.5</v>
      </c>
    </row>
    <row r="99" spans="1:3" x14ac:dyDescent="0.25">
      <c r="A99" s="9" t="s">
        <v>51</v>
      </c>
      <c r="B99" s="9" t="s">
        <v>294</v>
      </c>
      <c r="C99" s="16">
        <f>[1]!QAA_AGG("1,2,SS6,LA,F=KCA,K=DbC,F=A,K=/LA/Ldg,F=CDO000,T=CDO000,K=/LA/AccCde,F=001/2022,T=012/2022,K=/LA/Prd,F=P,T=PINV,K=/LA/JnlTyp,F=&lt;ALL&gt;,K=/LA/Alc,F=&lt;ALL&gt;,T=&lt;ALL&gt;,K=/LA/JnlSrc,F=ARTHURS SUPERVALU,T=ARTHURS SUPERVALU,K=/LA/CA/Nme,E=1,O=/LA/BseAmt,XLBVal:6=-6736"&amp;".450",)</f>
        <v>-6736.45</v>
      </c>
    </row>
    <row r="100" spans="1:3" x14ac:dyDescent="0.25">
      <c r="A100" s="9" t="s">
        <v>297</v>
      </c>
      <c r="B100" s="9" t="s">
        <v>298</v>
      </c>
      <c r="C100" s="16">
        <f>[1]!QAA_AGG("1,2,SS6,LA,F=KCA,K=DbC,F=A,K=/LA/Ldg,F=CWA000,T=CWA000,K=/LA/AccCde,F=001/2022,T=012/2022,K=/LA/Prd,F=P,T=PINV,K=/LA/JnlTyp,F=&lt;ALL&gt;,K=/LA/Alc,F=&lt;ALL&gt;,T=&lt;ALL&gt;,K=/LA/JnlSrc,F=WATERFORD INSTITUTE OF TECHNOLOGY,T=WATERFORD INSTITUTE OF TECHNOLOGY,K=/LA/CA/Nme"&amp;",E=1,O=/LA/BseAmt,XLBVal:6=-6619.990",)</f>
        <v>-6619.99</v>
      </c>
    </row>
    <row r="101" spans="1:3" x14ac:dyDescent="0.25">
      <c r="A101" s="9" t="s">
        <v>301</v>
      </c>
      <c r="B101" s="9" t="s">
        <v>302</v>
      </c>
      <c r="C101" s="16">
        <f>[1]!QAA_AGG("1,2,SS6,LA,F=KCA,K=DbC,F=A,K=/LA/Ldg,F=CMD004,T=CMD004,K=/LA/AccCde,F=001/2022,T=012/2022,K=/LA/Prd,F=P,T=PINV,K=/LA/JnlTyp,F=&lt;ALL&gt;,K=/LA/Alc,F=&lt;ALL&gt;,T=&lt;ALL&gt;,K=/LA/JnlSrc,F=M DOWLING MOTOR REPAIRS LTD,T=M DOWLING MOTOR REPAIRS LTD,K=/LA/CA/Nme,E=1,O=/LA/B"&amp;"seAmt,XLBVal:6=-6568.760",)</f>
        <v>-6568.76</v>
      </c>
    </row>
    <row r="102" spans="1:3" x14ac:dyDescent="0.25">
      <c r="A102" s="9" t="s">
        <v>303</v>
      </c>
      <c r="B102" s="9" t="s">
        <v>304</v>
      </c>
      <c r="C102" s="16">
        <f>[1]!QAA_AGG("1,2,SS6,LA,F=KCA,K=DbC,F=A,K=/LA/Ldg,F=CTH144,T=CTH144,K=/LA/AccCde,F=001/2022,T=012/2022,K=/LA/Prd,F=P,T=PINV,K=/LA/JnlTyp,F=&lt;ALL&gt;,K=/LA/Alc,F=&lt;ALL&gt;,T=&lt;ALL&gt;,K=/LA/JnlSrc,F=THE SOUND SHOP (DROGHEDA) LTD,T=THE SOUND SHOP (DROGHEDA) LTD,K=/LA/CA/Nme,E=1,O=/"&amp;"LA/BseAmt,XLBVal:6=-6555.560",)</f>
        <v>-6555.56</v>
      </c>
    </row>
    <row r="103" spans="1:3" x14ac:dyDescent="0.25">
      <c r="A103" s="9" t="s">
        <v>299</v>
      </c>
      <c r="B103" s="9" t="s">
        <v>300</v>
      </c>
      <c r="C103" s="16">
        <f>[1]!QAA_AGG("1,2,SS6,LA,F=KCA,K=DbC,F=A,K=/LA/Ldg,F=CCO104,T=CCO104,K=/LA/AccCde,F=001/2022,T=012/2022,K=/LA/Prd,F=P,T=PINV,K=/LA/JnlTyp,F=&lt;ALL&gt;,K=/LA/Alc,F=&lt;ALL&gt;,T=&lt;ALL&gt;,K=/LA/JnlSrc,F=CORA LONG,T=CORA LONG,K=/LA/CA/Nme,E=1,O=/LA/BseAmt,XLBVal:6=-6525.000",)</f>
        <v>-6525</v>
      </c>
    </row>
    <row r="104" spans="1:3" x14ac:dyDescent="0.25">
      <c r="A104" s="9" t="s">
        <v>305</v>
      </c>
      <c r="B104" s="9" t="s">
        <v>306</v>
      </c>
      <c r="C104" s="16">
        <f>[1]!QAA_AGG("1,2,SS6,LA,F=KCA,K=DbC,F=A,K=/LA/Ldg,F=CZE005,T=CZE005,K=/LA/AccCde,F=001/2022,T=012/2022,K=/LA/Prd,F=P,T=PINV,K=/LA/JnlTyp,F=&lt;ALL&gt;,K=/LA/Alc,F=&lt;ALL&gt;,T=&lt;ALL&gt;,K=/LA/JnlSrc,F=ZEUS PACKAGING LTD,T=ZEUS PACKAGING LTD,K=/LA/CA/Nme,E=1,O=/LA/BseAmt,XLBVal:6=-64"&amp;"15.420",)</f>
        <v>-6415.42</v>
      </c>
    </row>
    <row r="105" spans="1:3" x14ac:dyDescent="0.25">
      <c r="A105" s="9" t="s">
        <v>309</v>
      </c>
      <c r="B105" s="9" t="s">
        <v>310</v>
      </c>
      <c r="C105" s="16">
        <f>[1]!QAA_AGG("1,2,SS6,LA,F=KCA,K=DbC,F=A,K=/LA/Ldg,F=CMU029,T=CMU029,K=/LA/AccCde,F=001/2022,T=012/2022,K=/LA/Prd,F=P,T=PINV,K=/LA/JnlTyp,F=&lt;ALL&gt;,K=/LA/Alc,F=&lt;ALL&gt;,T=&lt;ALL&gt;,K=/LA/JnlSrc,F=MUSICMAKER LTD,T=MUSICMAKER LTD,K=/LA/CA/Nme,E=1,O=/LA/BseAmt,XLBVal:6=-6219.700",)</f>
        <v>-6219.7</v>
      </c>
    </row>
    <row r="106" spans="1:3" x14ac:dyDescent="0.25">
      <c r="A106" s="9" t="s">
        <v>116</v>
      </c>
      <c r="B106" s="9" t="s">
        <v>311</v>
      </c>
      <c r="C106" s="16">
        <f>[1]!QAA_AGG("1,2,SS6,LA,F=KCA,K=DbC,F=A,K=/LA/Ldg,F=CSY001,T=CSY001,K=/LA/AccCde,F=001/2022,T=012/2022,K=/LA/Prd,F=P,T=PINV,K=/LA/JnlTyp,F=&lt;ALL&gt;,K=/LA/Alc,F=&lt;ALL&gt;,T=&lt;ALL&gt;,K=/LA/JnlSrc,F=Sytorus Limited t/a Privacy Engine,T=Sytorus Limited t/a Privacy Engine,K=/LA/CA/N"&amp;"me,E=1,O=/LA/BseAmt,XLBVal:6=-6148.770",)</f>
        <v>-6148.77</v>
      </c>
    </row>
    <row r="107" spans="1:3" x14ac:dyDescent="0.25">
      <c r="A107" s="9" t="s">
        <v>312</v>
      </c>
      <c r="B107" s="9" t="s">
        <v>313</v>
      </c>
      <c r="C107" s="16">
        <f>[1]!QAA_AGG("1,2,SS6,LA,F=KCA,K=DbC,F=A,K=/LA/Ldg,F=CHA041,T=CHA041,K=/LA/AccCde,F=001/2022,T=012/2022,K=/LA/Prd,F=P,T=PINV,K=/LA/JnlTyp,F=&lt;ALL&gt;,K=/LA/Alc,F=&lt;ALL&gt;,T=&lt;ALL&gt;,K=/LA/JnlSrc,F=HARTLEY PEOPLE (TRAINING),T=HARTLEY PEOPLE (TRAINING),K=/LA/CA/Nme,E=1,O=/LA/BseAm"&amp;"t,XLBVal:6=-6112.020",)</f>
        <v>-6112.02</v>
      </c>
    </row>
    <row r="108" spans="1:3" x14ac:dyDescent="0.25">
      <c r="A108" s="9" t="s">
        <v>314</v>
      </c>
      <c r="B108" s="9" t="s">
        <v>315</v>
      </c>
      <c r="C108" s="16">
        <f>[1]!QAA_AGG("1,2,SS6,LA,F=KCA,K=DbC,F=A,K=/LA/Ldg,F=CTI026,T=CTI026,K=/LA/AccCde,F=001/2022,T=012/2022,K=/LA/Prd,F=P,T=PINV,K=/LA/JnlTyp,F=&lt;ALL&gt;,K=/LA/Alc,F=&lt;ALL&gt;,T=&lt;ALL&gt;,K=/LA/JnlSrc,F=TINPOT PRODUCTIONS LIMITED,T=TINPOT PRODUCTIONS LIMITED,K=/LA/CA/Nme,E=1,O=/LA/Bse"&amp;"Amt,XLBVal:6=-6054.000",)</f>
        <v>-6054</v>
      </c>
    </row>
    <row r="109" spans="1:3" x14ac:dyDescent="0.25">
      <c r="A109" s="9" t="s">
        <v>316</v>
      </c>
      <c r="B109" s="9" t="s">
        <v>317</v>
      </c>
      <c r="C109" s="16">
        <f>[1]!QAA_AGG("1,2,SS6,LA,F=KCA,K=DbC,F=A,K=/LA/Ldg,F=CFR013,T=CFR013,K=/LA/AccCde,F=001/2022,T=012/2022,K=/LA/Prd,F=P,T=PINV,K=/LA/JnlTyp,F=&lt;ALL&gt;,K=/LA/Alc,F=&lt;ALL&gt;,T=&lt;ALL&gt;,K=/LA/JnlSrc,F=FRANK MORAN,T=FRANK MORAN,K=/LA/CA/Nme,E=1,O=/LA/BseAmt,XLBVal:6=-5833.320",)</f>
        <v>-5833.32</v>
      </c>
    </row>
    <row r="110" spans="1:3" x14ac:dyDescent="0.25">
      <c r="A110" s="9" t="s">
        <v>68</v>
      </c>
      <c r="B110" s="9" t="s">
        <v>318</v>
      </c>
      <c r="C110" s="16">
        <f>[1]!QAA_AGG("1,2,SS6,LA,F=KCA,K=DbC,F=A,K=/LA/Ldg,F=CJB001,T=CJB001,K=/LA/AccCde,F=001/2022,T=012/2022,K=/LA/Prd,F=P,T=PINV,K=/LA/JnlTyp,F=&lt;ALL&gt;,K=/LA/Alc,F=&lt;ALL&gt;,T=&lt;ALL&gt;,K=/LA/JnlSrc,F=JBS GROUP,T=JBS GROUP,K=/LA/CA/Nme,E=1,O=/LA/BseAmt,XLBVal:6=-5787.720",)</f>
        <v>-5787.72</v>
      </c>
    </row>
    <row r="111" spans="1:3" x14ac:dyDescent="0.25">
      <c r="A111" s="9" t="s">
        <v>319</v>
      </c>
      <c r="B111" s="9" t="s">
        <v>320</v>
      </c>
      <c r="C111" s="16">
        <f>[1]!QAA_AGG("1,2,SS6,LA,F=KCA,K=DbC,F=A,K=/LA/Ldg,F=CKI021,T=CKI021,K=/LA/AccCde,F=001/2022,T=012/2022,K=/LA/Prd,F=P,T=PINV,K=/LA/JnlTyp,F=&lt;ALL&gt;,K=/LA/Alc,F=&lt;ALL&gt;,T=&lt;ALL&gt;,K=/LA/JnlSrc,F=KILKENNY EDUCATION CENTRE,T=KILKENNY EDUCATION CENTRE,K=/LA/CA/Nme,E=1,O=/LA/BseAm"&amp;"t,XLBVal:6=-5606.700",)</f>
        <v>-5606.7</v>
      </c>
    </row>
    <row r="112" spans="1:3" x14ac:dyDescent="0.25">
      <c r="A112" s="9" t="s">
        <v>321</v>
      </c>
      <c r="B112" s="9" t="s">
        <v>322</v>
      </c>
      <c r="C112" s="16">
        <f>[1]!QAA_AGG("1,2,SS6,LA,F=KCA,K=DbC,F=A,K=/LA/Ldg,F=CED057,T=CED057,K=/LA/AccCde,F=001/2022,T=012/2022,K=/LA/Prd,F=P,T=PINV,K=/LA/JnlTyp,F=&lt;ALL&gt;,K=/LA/Alc,F=&lt;ALL&gt;,T=&lt;ALL&gt;,K=/LA/JnlSrc,F=EDMUND RICE CENTRE,T=EDMUND RICE CENTRE,K=/LA/CA/Nme,E=1,O=/LA/BseAmt,XLBVal:6=-56"&amp;"00.000",)</f>
        <v>-5600</v>
      </c>
    </row>
    <row r="113" spans="1:3" x14ac:dyDescent="0.25">
      <c r="A113" s="9" t="s">
        <v>323</v>
      </c>
      <c r="B113" s="9" t="s">
        <v>324</v>
      </c>
      <c r="C113" s="16">
        <f>[1]!QAA_AGG("1,2,SS6,LA,F=KCA,K=DbC,F=A,K=/LA/Ldg,F=CBA087,T=CBA087,K=/LA/AccCde,F=001/2022,T=012/2022,K=/LA/Prd,F=P,T=PINV,K=/LA/JnlTyp,F=&lt;ALL&gt;,K=/LA/Alc,F=&lt;ALL&gt;,T=&lt;ALL&gt;,K=/LA/JnlSrc,F=BANNER GROUP LTD,T=BANNER GROUP LTD,K=/LA/CA/Nme,E=1,O=/LA/BseAmt,XLBVal:6=-5559.0"&amp;"70",)</f>
        <v>-5559.07</v>
      </c>
    </row>
    <row r="114" spans="1:3" x14ac:dyDescent="0.25">
      <c r="A114" s="9" t="s">
        <v>82</v>
      </c>
      <c r="B114" s="9" t="s">
        <v>325</v>
      </c>
      <c r="C114" s="16">
        <f>[1]!QAA_AGG("1,2,SS6,LA,F=KCA,K=DbC,F=A,K=/LA/Ldg,F=CFO019,T=CFO019,K=/LA/AccCde,F=001/2022,T=012/2022,K=/LA/Prd,F=P,T=PINV,K=/LA/JnlTyp,F=&lt;ALL&gt;,K=/LA/Alc,F=&lt;ALL&gt;,T=&lt;ALL&gt;,K=/LA/JnlSrc,F=FOCUS VISUAL COMMUNICATION,T=FOCUS VISUAL COMMUNICATION,K=/LA/CA/Nme,E=1,O=/LA/Bse"&amp;"Amt,XLBVal:6=-5553.450",)</f>
        <v>-5553.45</v>
      </c>
    </row>
    <row r="115" spans="1:3" x14ac:dyDescent="0.25">
      <c r="A115" s="9" t="s">
        <v>326</v>
      </c>
      <c r="B115" s="9" t="s">
        <v>327</v>
      </c>
      <c r="C115" s="16">
        <f>[1]!QAA_AGG("1,2,SS6,LA,F=KCA,K=DbC,F=A,K=/LA/Ldg,F=CCA002,T=CCA002,K=/LA/AccCde,F=001/2022,T=012/2022,K=/LA/Prd,F=P,T=PINV,K=/LA/JnlTyp,F=&lt;ALL&gt;,K=/LA/Alc,F=&lt;ALL&gt;,T=&lt;ALL&gt;,K=/LA/JnlSrc,F=Catherine O'Dowd,T=Catherine O'Dowd,K=/LA/CA/Nme,E=1,O=/LA/BseAmt,XLBVal:6=-5413.5"&amp;"80",)</f>
        <v>-5413.58</v>
      </c>
    </row>
    <row r="116" spans="1:3" x14ac:dyDescent="0.25">
      <c r="A116" s="9" t="s">
        <v>328</v>
      </c>
      <c r="B116" s="9" t="s">
        <v>329</v>
      </c>
      <c r="C116" s="16">
        <f>[1]!QAA_AGG("1,2,SS6,LA,F=KCA,K=DbC,F=A,K=/LA/Ldg,F=CDR016,T=CDR016,K=/LA/AccCde,F=001/2022,T=012/2022,K=/LA/Prd,F=P,T=PINV,K=/LA/JnlTyp,F=&lt;ALL&gt;,K=/LA/Alc,F=&lt;ALL&gt;,T=&lt;ALL&gt;,K=/LA/JnlSrc,F=DR CANDICE E CONDON CHARTERED,T=DR CANDICE E CONDON CHARTERED,K=/LA/CA/Nme,E=1,O=/"&amp;"LA/BseAmt,XLBVal:6=-5392.000",)</f>
        <v>-5392</v>
      </c>
    </row>
    <row r="117" spans="1:3" x14ac:dyDescent="0.25">
      <c r="A117" s="9" t="s">
        <v>330</v>
      </c>
      <c r="B117" s="9" t="s">
        <v>331</v>
      </c>
      <c r="C117" s="16">
        <f>[1]!QAA_AGG("1,2,SS6,LA,F=KCA,K=DbC,F=A,K=/LA/Ldg,F=CWO018,T=CWO018,K=/LA/AccCde,F=001/2022,T=012/2022,K=/LA/Prd,F=P,T=PINV,K=/LA/JnlTyp,F=&lt;ALL&gt;,K=/LA/Alc,F=&lt;ALL&gt;,T=&lt;ALL&gt;,K=/LA/JnlSrc,F=WORKWEAR EXPERTS LTD,T=WORKWEAR EXPERTS LTD,K=/LA/CA/Nme,E=1,O=/LA/BseAmt,XLBVal:6"&amp;"=-5373.400",)</f>
        <v>-5373.4</v>
      </c>
    </row>
    <row r="118" spans="1:3" x14ac:dyDescent="0.25">
      <c r="A118" s="9" t="s">
        <v>50</v>
      </c>
      <c r="B118" s="9" t="s">
        <v>332</v>
      </c>
      <c r="C118" s="16">
        <f>[1]!QAA_AGG("1,2,SS6,LA,F=KCA,K=DbC,F=A,K=/LA/Ldg,F=CDA015,T=CDA015,K=/LA/AccCde,F=001/2022,T=012/2022,K=/LA/Prd,F=P,T=PINV,K=/LA/JnlTyp,F=&lt;ALL&gt;,K=/LA/Alc,F=&lt;ALL&gt;,T=&lt;ALL&gt;,K=/LA/JnlSrc,F=Dalton TV.ie t/a Comtech Television Ltd,T=Dalton TV.ie t/a Comtech Television Ltd,"&amp;"K=/LA/CA/Nme,E=1,O=/LA/BseAmt,XLBVal:6=-5314.090",)</f>
        <v>-5314.09</v>
      </c>
    </row>
    <row r="119" spans="1:3" x14ac:dyDescent="0.25">
      <c r="A119" s="9" t="s">
        <v>99</v>
      </c>
      <c r="B119" s="9" t="s">
        <v>98</v>
      </c>
      <c r="C119" s="16">
        <f>[1]!QAA_AGG("1,2,SS6,LA,F=KCA,K=DbC,F=A,K=/LA/Ldg,F=CPF001,T=CPF001,K=/LA/AccCde,F=001/2022,T=012/2022,K=/LA/Prd,F=P,T=PINV,K=/LA/JnlTyp,F=&lt;ALL&gt;,K=/LA/Alc,F=&lt;ALL&gt;,T=&lt;ALL&gt;,K=/LA/JnlSrc,F=PFH TECHNOLOGY GROUP,T=PFH TECHNOLOGY GROUP,K=/LA/CA/Nme,E=1,O=/LA/BseAmt,XLBVal:6"&amp;"=-5248.410",)</f>
        <v>-5248.41</v>
      </c>
    </row>
    <row r="120" spans="1:3" x14ac:dyDescent="0.25">
      <c r="A120" s="9" t="s">
        <v>333</v>
      </c>
      <c r="B120" s="9" t="s">
        <v>78</v>
      </c>
      <c r="C120" s="16">
        <f>[1]!QAA_AGG("1,2,SS6,LA,F=KCA,K=DbC,F=A,K=/LA/Ldg,F=CDI026,T=CDI026,K=/LA/AccCde,F=001/2022,T=012/2022,K=/LA/Prd,F=P,T=PINV,K=/LA/JnlTyp,F=&lt;ALL&gt;,K=/LA/Alc,F=&lt;ALL&gt;,T=&lt;ALL&gt;,K=/LA/JnlSrc,F=HOME APPLIANCES T/A DID ELECTRICAL,T=HOME APPLIANCES T/A DID ELECTRICAL,K=/LA/CA/N"&amp;"me,E=1,O=/LA/BseAmt,XLBVal:6=-5151.760",)</f>
        <v>-5151.76</v>
      </c>
    </row>
    <row r="121" spans="1:3" x14ac:dyDescent="0.25">
      <c r="A121" s="9" t="s">
        <v>334</v>
      </c>
      <c r="B121" s="9" t="s">
        <v>335</v>
      </c>
      <c r="C121" s="16">
        <f>[1]!QAA_AGG("1,2,SS6,LA,F=KCA,K=DbC,F=A,K=/LA/Ldg,F=CBO020,T=CBO020,K=/LA/AccCde,F=001/2022,T=012/2022,K=/LA/Prd,F=P,T=PINV,K=/LA/JnlTyp,F=&lt;ALL&gt;,K=/LA/Alc,F=&lt;ALL&gt;,T=&lt;ALL&gt;,K=/LA/JnlSrc,F=Borris  Vocational School Parents Association,T=Borris  Vocational School Parents "&amp;"Association,K=/LA/CA/Nme,E=1,O=/LA/BseAmt,XLBVal:6=-5000.000",)</f>
        <v>-5000</v>
      </c>
    </row>
    <row r="122" spans="1:3" x14ac:dyDescent="0.25">
      <c r="A122" s="9" t="s">
        <v>336</v>
      </c>
      <c r="B122" s="9" t="s">
        <v>110</v>
      </c>
      <c r="C122" s="16">
        <f>[1]!QAA_AGG("1,2,SS6,LA,F=KCA,K=DbC,F=A,K=/LA/Ldg,F=CMI190,T=CMI190,K=/LA/AccCde,F=001/2022,T=012/2022,K=/LA/Prd,F=P,T=PINV,K=/LA/JnlTyp,F=&lt;ALL&gt;,K=/LA/Alc,F=&lt;ALL&gt;,T=&lt;ALL&gt;,K=/LA/JnlSrc,F=MICHAEL VIGNOLES,T=MICHAEL VIGNOLES,K=/LA/CA/Nme,E=1,O=/LA/BseAmt,XLBVal:6=-4989.9"&amp;"00",)</f>
        <v>-4989.8999999999996</v>
      </c>
    </row>
    <row r="123" spans="1:3" x14ac:dyDescent="0.25">
      <c r="A123" s="9" t="s">
        <v>337</v>
      </c>
      <c r="B123" s="9" t="s">
        <v>338</v>
      </c>
      <c r="C123" s="16">
        <f>[1]!QAA_AGG("1,2,SS6,LA,F=KCA,K=DbC,F=A,K=/LA/Ldg,F=CSE003,T=CSE003,K=/LA/AccCde,F=001/2022,T=012/2022,K=/LA/Prd,F=P,T=PINV,K=/LA/JnlTyp,F=&lt;ALL&gt;,K=/LA/Alc,F=&lt;ALL&gt;,T=&lt;ALL&gt;,K=/LA/JnlSrc,F=SEAMUS BYRNE ELECTRICAL LTD,T=SEAMUS BYRNE ELECTRICAL LTD,K=/LA/CA/Nme,E=1,O=/LA/B"&amp;"seAmt,XLBVal:6=-4801.190",)</f>
        <v>-4801.1899999999996</v>
      </c>
    </row>
    <row r="124" spans="1:3" x14ac:dyDescent="0.25">
      <c r="A124" s="9" t="s">
        <v>341</v>
      </c>
      <c r="B124" s="9" t="s">
        <v>342</v>
      </c>
      <c r="C124" s="16">
        <f>[1]!QAA_AGG("1,2,SS6,LA,F=KCA,K=DbC,F=A,K=/LA/Ldg,F=CCA201,T=CCA201,K=/LA/AccCde,F=001/2022,T=012/2022,K=/LA/Prd,F=P,T=PINV,K=/LA/JnlTyp,F=&lt;ALL&gt;,K=/LA/Alc,F=&lt;ALL&gt;,T=&lt;ALL&gt;,K=/LA/JnlSrc,F=CAULFIELDS SUPERVALU,T=CAULFIELDS SUPERVALU,K=/LA/CA/Nme,E=1,O=/LA/BseAmt,XLBVal:6"&amp;"=-4736.800",)</f>
        <v>-4736.8</v>
      </c>
    </row>
    <row r="125" spans="1:3" x14ac:dyDescent="0.25">
      <c r="A125" s="9" t="s">
        <v>339</v>
      </c>
      <c r="B125" s="9" t="s">
        <v>340</v>
      </c>
      <c r="C125" s="16">
        <f>[1]!QAA_AGG("1,2,SS6,LA,F=KCA,K=DbC,F=A,K=/LA/Ldg,F=CPL005,T=CPL005,K=/LA/AccCde,F=001/2022,T=012/2022,K=/LA/Prd,F=P,T=PINV,K=/LA/JnlTyp,F=&lt;ALL&gt;,K=/LA/Alc,F=&lt;ALL&gt;,T=&lt;ALL&gt;,K=/LA/JnlSrc,F=PLASTIC WATER PIPING T/A PWP CLEANMACHINES,T=PLASTIC WATER PIPING T/A PWP CLEANMAC"&amp;"HINES,K=/LA/CA/Nme,E=1,O=/LA/BseAmt,XLBVal:6=-4735.500",)</f>
        <v>-4735.5</v>
      </c>
    </row>
    <row r="126" spans="1:3" x14ac:dyDescent="0.25">
      <c r="A126" s="9" t="s">
        <v>74</v>
      </c>
      <c r="B126" s="9" t="s">
        <v>75</v>
      </c>
      <c r="C126" s="16">
        <f>[1]!QAA_AGG("1,2,SS6,LA,F=KCA,K=DbC,F=A,K=/LA/Ldg,F=CGL010,T=CGL010,K=/LA/AccCde,F=001/2022,T=012/2022,K=/LA/Prd,F=P,T=PINV,K=/LA/JnlTyp,F=&lt;ALL&gt;,K=/LA/Alc,F=&lt;ALL&gt;,T=&lt;ALL&gt;,K=/LA/JnlSrc,F=GL EDUCATION GROUP LTD,T=GL EDUCATION GROUP LTD,K=/LA/CA/Nme,E=1,O=/LA/BseAmt,XLBV"&amp;"al:6=-4602.790",)</f>
        <v>-4602.79</v>
      </c>
    </row>
    <row r="127" spans="1:3" x14ac:dyDescent="0.25">
      <c r="A127" s="9" t="s">
        <v>343</v>
      </c>
      <c r="B127" s="9" t="s">
        <v>57</v>
      </c>
      <c r="C127" s="16">
        <f>[1]!QAA_AGG("1,2,SS6,LA,F=KCA,K=DbC,F=A,K=/LA/Ldg,F=CBO037,T=CBO037,K=/LA/AccCde,F=001/2022,T=012/2022,K=/LA/Prd,F=P,T=PINV,K=/LA/JnlTyp,F=&lt;ALL&gt;,K=/LA/Alc,F=&lt;ALL&gt;,T=&lt;ALL&gt;,K=/LA/JnlSrc,F=BOTTLETOP MEDIA,T=BOTTLETOP MEDIA,K=/LA/CA/Nme,E=1,O=/LA/BseAmt,XLBVal:6=-4580.000"&amp;"",)</f>
        <v>-4580</v>
      </c>
    </row>
    <row r="128" spans="1:3" x14ac:dyDescent="0.25">
      <c r="A128" s="9" t="s">
        <v>344</v>
      </c>
      <c r="B128" s="9" t="s">
        <v>112</v>
      </c>
      <c r="C128" s="16">
        <f>[1]!QAA_AGG("1,2,SS6,LA,F=KCA,K=DbC,F=A,K=/LA/Ldg,F=CSO037,T=CSO037,K=/LA/AccCde,F=001/2022,T=012/2022,K=/LA/Prd,F=P,T=PINV,K=/LA/JnlTyp,F=&lt;ALL&gt;,K=/LA/Alc,F=&lt;ALL&gt;,T=&lt;ALL&gt;,K=/LA/JnlSrc,F=SOLAS,T=SOLAS,K=/LA/CA/Nme,E=1,O=/LA/BseAmt,XLBVal:6=-4545.000",)</f>
        <v>-4545</v>
      </c>
    </row>
    <row r="129" spans="1:3" x14ac:dyDescent="0.25">
      <c r="A129" s="9" t="s">
        <v>345</v>
      </c>
      <c r="B129" s="9" t="s">
        <v>346</v>
      </c>
      <c r="C129" s="16">
        <f>[1]!QAA_AGG("1,2,SS6,LA,F=KCA,K=DbC,F=A,K=/LA/Ldg,F=CAS030,T=CAS030,K=/LA/AccCde,F=001/2022,T=012/2022,K=/LA/Prd,F=P,T=PINV,K=/LA/JnlTyp,F=&lt;ALL&gt;,K=/LA/Alc,F=&lt;ALL&gt;,T=&lt;ALL&gt;,K=/LA/JnlSrc,F=ASHBOURNE VISITOR CENTRE T/A TAYTO PARK,T=ASHBOURNE VISITOR CENTRE T/A TAYTO PARK,"&amp;"K=/LA/CA/Nme,E=1,O=/LA/BseAmt,XLBVal:6=-4512.000",)</f>
        <v>-4512</v>
      </c>
    </row>
    <row r="130" spans="1:3" x14ac:dyDescent="0.25">
      <c r="A130" s="9" t="s">
        <v>347</v>
      </c>
      <c r="B130" s="9" t="s">
        <v>348</v>
      </c>
      <c r="C130" s="16">
        <f>[1]!QAA_AGG("1,2,SS6,LA,F=KCA,K=DbC,F=A,K=/LA/Ldg,F=CSA003,T=CSA003,K=/LA/AccCde,F=001/2022,T=012/2022,K=/LA/Prd,F=P,T=PINV,K=/LA/JnlTyp,F=&lt;ALL&gt;,K=/LA/Alc,F=&lt;ALL&gt;,T=&lt;ALL&gt;,K=/LA/JnlSrc,F=Savins Music Centre,T=Savins Music Centre,K=/LA/CA/Nme,E=1,O=/LA/BseAmt,XLBVal:6=-"&amp;"4449.960",)</f>
        <v>-4449.96</v>
      </c>
    </row>
    <row r="131" spans="1:3" x14ac:dyDescent="0.25">
      <c r="A131" s="9" t="s">
        <v>349</v>
      </c>
      <c r="B131" s="9" t="s">
        <v>350</v>
      </c>
      <c r="C131" s="16">
        <f>[1]!QAA_AGG("1,2,SS6,LA,F=KCA,K=DbC,F=A,K=/LA/Ldg,F=CPO015,T=CPO015,K=/LA/AccCde,F=001/2022,T=012/2022,K=/LA/Prd,F=P,T=PINV,K=/LA/JnlTyp,F=&lt;ALL&gt;,K=/LA/Alc,F=&lt;ALL&gt;,T=&lt;ALL&gt;,K=/LA/JnlSrc,F=POWERPOINT ENGINEERING,T=POWERPOINT ENGINEERING,K=/LA/CA/Nme,E=1,O=/LA/BseAmt,XLBV"&amp;"al:6=-4418.160",)</f>
        <v>-4418.16</v>
      </c>
    </row>
    <row r="132" spans="1:3" x14ac:dyDescent="0.25">
      <c r="A132" s="9" t="s">
        <v>69</v>
      </c>
      <c r="B132" s="9" t="s">
        <v>353</v>
      </c>
      <c r="C132" s="16">
        <f>[1]!QAA_AGG("1,2,SS6,LA,F=KCA,K=DbC,F=A,K=/LA/Ldg,F=CKM001,T=CKM001,K=/LA/AccCde,F=001/2022,T=012/2022,K=/LA/Prd,F=P,T=PINV,K=/LA/JnlTyp,F=&lt;ALL&gt;,K=/LA/Alc,F=&lt;ALL&gt;,T=&lt;ALL&gt;,K=/LA/JnlSrc,F=KMS JOINERY LTD,T=KMS JOINERY LTD,K=/LA/CA/Nme,E=1,O=/LA/BseAmt,XLBVal:6=-4317.080"&amp;"",)</f>
        <v>-4317.08</v>
      </c>
    </row>
    <row r="133" spans="1:3" x14ac:dyDescent="0.25">
      <c r="A133" s="9" t="s">
        <v>351</v>
      </c>
      <c r="B133" s="9" t="s">
        <v>352</v>
      </c>
      <c r="C133" s="16">
        <f>[1]!QAA_AGG("1,2,SS6,LA,F=KCA,K=DbC,F=A,K=/LA/Ldg,F=CNA003,T=CNA003,K=/LA/AccCde,F=001/2022,T=012/2022,K=/LA/Prd,F=P,T=PINV,K=/LA/JnlTyp,F=&lt;ALL&gt;,K=/LA/Alc,F=&lt;ALL&gt;,T=&lt;ALL&gt;,K=/LA/JnlSrc,F=NATIONALIST &amp; LEINSTER TIMES LTD,T=NATIONALIST &amp; LEINSTER TIMES LTD,K=/LA/CA/Nme,E"&amp;"=1,O=/LA/BseAmt,XLBVal:6=-4302.540",)</f>
        <v>-4302.54</v>
      </c>
    </row>
    <row r="134" spans="1:3" x14ac:dyDescent="0.25">
      <c r="A134" s="9" t="s">
        <v>354</v>
      </c>
      <c r="B134" s="9" t="s">
        <v>355</v>
      </c>
      <c r="C134" s="16">
        <f>[1]!QAA_AGG("1,2,SS6,LA,F=KCA,K=DbC,F=A,K=/LA/Ldg,F=CAM040,T=CAM040,K=/LA/AccCde,F=001/2022,T=012/2022,K=/LA/Prd,F=P,T=PINV,K=/LA/JnlTyp,F=&lt;ALL&gt;,K=/LA/Alc,F=&lt;ALL&gt;,T=&lt;ALL&gt;,K=/LA/JnlSrc,F=AMICI SEMPRE LTD T/A THE KILKENNY OBSERVER,T=AMICI SEMPRE LTD T/A THE KILKENNY OBS"&amp;"ERVER,K=/LA/CA/Nme,E=1,O=/LA/BseAmt,XLBVal:6=-4212.750",)</f>
        <v>-4212.75</v>
      </c>
    </row>
    <row r="135" spans="1:3" x14ac:dyDescent="0.25">
      <c r="A135" s="9" t="s">
        <v>356</v>
      </c>
      <c r="B135" s="9" t="s">
        <v>357</v>
      </c>
      <c r="C135" s="16">
        <f>[1]!QAA_AGG("1,2,SS6,LA,F=KCA,K=DbC,F=A,K=/LA/Ldg,F=CPO004,T=CPO004,K=/LA/AccCde,F=001/2022,T=012/2022,K=/LA/Prd,F=P,T=PINV,K=/LA/JnlTyp,F=&lt;ALL&gt;,K=/LA/Alc,F=&lt;ALL&gt;,T=&lt;ALL&gt;,K=/LA/JnlSrc,F=PURCHASE POWER,T=PURCHASE POWER,K=/LA/CA/Nme,E=1,O=/LA/BseAmt,XLBVal:6=-4195.630",)</f>
        <v>-4195.63</v>
      </c>
    </row>
    <row r="136" spans="1:3" x14ac:dyDescent="0.25">
      <c r="A136" s="9" t="s">
        <v>358</v>
      </c>
      <c r="B136" s="9" t="s">
        <v>359</v>
      </c>
      <c r="C136" s="16">
        <f>[1]!QAA_AGG("1,2,SS6,LA,F=KCA,K=DbC,F=A,K=/LA/Ldg,F=CKA001,T=CKA001,K=/LA/AccCde,F=001/2022,T=012/2022,K=/LA/Prd,F=P,T=PINV,K=/LA/JnlTyp,F=&lt;ALL&gt;,K=/LA/Alc,F=&lt;ALL&gt;,T=&lt;ALL&gt;,K=/LA/JnlSrc,F=Kartworld Adventure Centre,T=Kartworld Adventure Centre,K=/LA/CA/Nme,E=1,O=/LA/Bse"&amp;"Amt,XLBVal:6=-4150.000",)</f>
        <v>-4150</v>
      </c>
    </row>
    <row r="137" spans="1:3" x14ac:dyDescent="0.25">
      <c r="A137" s="9" t="s">
        <v>360</v>
      </c>
      <c r="B137" s="9" t="s">
        <v>361</v>
      </c>
      <c r="C137" s="16">
        <f>[1]!QAA_AGG("1,2,SS6,LA,F=KCA,K=DbC,F=A,K=/LA/Ldg,F=CDI016,T=CDI016,K=/LA/AccCde,F=001/2022,T=012/2022,K=/LA/Prd,F=P,T=PINV,K=/LA/JnlTyp,F=&lt;ALL&gt;,K=/LA/Alc,F=&lt;ALL&gt;,T=&lt;ALL&gt;,K=/LA/JnlSrc,F=DIGITAL SYSTEMS &amp; INSTALLATIONS LTD,T=DIGITAL SYSTEMS &amp; INSTALLATIONS LTD,K=/LA/CA"&amp;"/Nme,E=1,O=/LA/BseAmt,XLBVal:6=-4149.300",)</f>
        <v>-4149.3</v>
      </c>
    </row>
    <row r="138" spans="1:3" x14ac:dyDescent="0.25">
      <c r="A138" s="9" t="s">
        <v>362</v>
      </c>
      <c r="B138" s="9" t="s">
        <v>363</v>
      </c>
      <c r="C138" s="16">
        <f>[1]!QAA_AGG("1,2,SS6,LA,F=KCA,K=DbC,F=A,K=/LA/Ldg,F=COR024,T=COR024,K=/LA/AccCde,F=001/2022,T=012/2022,K=/LA/Prd,F=P,T=PINV,K=/LA/JnlTyp,F=&lt;ALL&gt;,K=/LA/Alc,F=&lt;ALL&gt;,T=&lt;ALL&gt;,K=/LA/JnlSrc,F=O'REILLY SPORTS LTD,T=O'REILLY SPORTS LTD,K=/LA/CA/Nme,E=1,O=/LA/BseAmt,XLBVal:6=-"&amp;"4079.660",)</f>
        <v>-4079.66</v>
      </c>
    </row>
    <row r="139" spans="1:3" x14ac:dyDescent="0.25">
      <c r="A139" s="9" t="s">
        <v>365</v>
      </c>
      <c r="B139" s="9" t="s">
        <v>366</v>
      </c>
      <c r="C139" s="16">
        <f>[1]!QAA_AGG("1,2,SS6,LA,F=KCA,K=DbC,F=A,K=/LA/Ldg,F=CDR009,T=CDR009,K=/LA/AccCde,F=001/2022,T=012/2022,K=/LA/Prd,F=P,T=PINV,K=/LA/JnlTyp,F=&lt;ALL&gt;,K=/LA/Alc,F=&lt;ALL&gt;,T=&lt;ALL&gt;,K=/LA/JnlSrc,F=DROICHEAD FAMILY RESOURCE CENTRE,T=DROICHEAD FAMILY RESOURCE CENTRE,K=/LA/CA/Nme,E"&amp;"=1,O=/LA/BseAmt,XLBVal:6=-4000.000",)</f>
        <v>-4000</v>
      </c>
    </row>
    <row r="140" spans="1:3" x14ac:dyDescent="0.25">
      <c r="A140" s="9" t="s">
        <v>367</v>
      </c>
      <c r="B140" s="9" t="s">
        <v>368</v>
      </c>
      <c r="C140" s="16">
        <f>[1]!QAA_AGG("1,2,SS6,LA,F=KCA,K=DbC,F=A,K=/LA/Ldg,F=CKA096,T=CKA096,K=/LA/AccCde,F=001/2022,T=012/2022,K=/LA/Prd,F=P,T=PINV,K=/LA/JnlTyp,F=&lt;ALL&gt;,K=/LA/Alc,F=&lt;ALL&gt;,T=&lt;ALL&gt;,K=/LA/JnlSrc,F=KAT HEALY,T=KAT HEALY,K=/LA/CA/Nme,E=1,O=/LA/BseAmt,XLBVal:6=-3979.780",)</f>
        <v>-3979.78</v>
      </c>
    </row>
    <row r="141" spans="1:3" x14ac:dyDescent="0.25">
      <c r="A141" s="9" t="s">
        <v>364</v>
      </c>
      <c r="B141" s="9" t="s">
        <v>70</v>
      </c>
      <c r="C141" s="16">
        <f>[1]!QAA_AGG("1,2,SS6,LA,F=KCA,K=DbC,F=A,K=/LA/Ldg,F=CLA037,T=CLA037,K=/LA/AccCde,F=001/2022,T=012/2022,K=/LA/Prd,F=P,T=PINV,K=/LA/JnlTyp,F=&lt;ALL&gt;,K=/LA/Alc,F=&lt;ALL&gt;,T=&lt;ALL&gt;,K=/LA/JnlSrc,F=LASERTEC MEDICAL SERVICES,T=LASERTEC MEDICAL SERVICES,K=/LA/CA/Nme,E=1,O=/LA/BseAm"&amp;"t,XLBVal:6=-3972.520",)</f>
        <v>-3972.52</v>
      </c>
    </row>
    <row r="142" spans="1:3" x14ac:dyDescent="0.25">
      <c r="A142" s="9" t="s">
        <v>369</v>
      </c>
      <c r="B142" s="9" t="s">
        <v>370</v>
      </c>
      <c r="C142" s="16">
        <f>[1]!QAA_AGG("1,2,SS6,LA,F=KCA,K=DbC,F=A,K=/LA/Ldg,F=CGJ001,T=CGJ001,K=/LA/AccCde,F=001/2022,T=012/2022,K=/LA/Prd,F=P,T=PINV,K=/LA/JnlTyp,F=&lt;ALL&gt;,K=/LA/Alc,F=&lt;ALL&gt;,T=&lt;ALL&gt;,K=/LA/JnlSrc,F=GERALD DUFFY,T=GERALD DUFFY,K=/LA/CA/Nme,E=1,O=/LA/BseAmt,XLBVal:6=-3835.000",)</f>
        <v>-3835</v>
      </c>
    </row>
    <row r="143" spans="1:3" x14ac:dyDescent="0.25">
      <c r="A143" s="9" t="s">
        <v>371</v>
      </c>
      <c r="B143" s="9" t="s">
        <v>372</v>
      </c>
      <c r="C143" s="16">
        <f>[1]!QAA_AGG("1,2,SS6,LA,F=KCA,K=DbC,F=A,K=/LA/Ldg,F=CCA188,T=CCA188,K=/LA/AccCde,F=001/2022,T=012/2022,K=/LA/Prd,F=P,T=PINV,K=/LA/JnlTyp,F=&lt;ALL&gt;,K=/LA/Alc,F=&lt;ALL&gt;,T=&lt;ALL&gt;,K=/LA/JnlSrc,F=CAVAN AND MONAGHAN ETB,T=CAVAN AND MONAGHAN ETB,K=/LA/CA/Nme,E=1,O=/LA/BseAmt,XLBV"&amp;"al:6=-3778.390",)</f>
        <v>-3778.39</v>
      </c>
    </row>
    <row r="144" spans="1:3" x14ac:dyDescent="0.25">
      <c r="A144" s="9" t="s">
        <v>377</v>
      </c>
      <c r="B144" s="9" t="s">
        <v>378</v>
      </c>
      <c r="C144" s="16">
        <f>[1]!QAA_AGG("1,2,SS6,LA,F=KCA,K=DbC,F=A,K=/LA/Ldg,F=CFO020,T=CFO020,K=/LA/AccCde,F=001/2022,T=012/2022,K=/LA/Prd,F=P,T=PINV,K=/LA/JnlTyp,F=&lt;ALL&gt;,K=/LA/Alc,F=&lt;ALL&gt;,T=&lt;ALL&gt;,K=/LA/JnlSrc,F=FORMPRESS PUBLISHING T/A ICONIC NEWSPAPE,T=FORMPRESS PUBLISHING T/A ICONIC NEWSPAP"&amp;"E,K=/LA/CA/Nme,E=1,O=/LA/BseAmt,XLBVal:6=-3726.550",)</f>
        <v>-3726.55</v>
      </c>
    </row>
    <row r="145" spans="1:3" x14ac:dyDescent="0.25">
      <c r="A145" s="9" t="s">
        <v>375</v>
      </c>
      <c r="B145" s="9" t="s">
        <v>376</v>
      </c>
      <c r="C145" s="16">
        <f>[1]!QAA_AGG("1,2,SS6,LA,F=KCA,K=DbC,F=A,K=/LA/Ldg,F=CED055,T=CED055,K=/LA/AccCde,F=001/2022,T=012/2022,K=/LA/Prd,F=P,T=PINV,K=/LA/JnlTyp,F=&lt;ALL&gt;,K=/LA/Alc,F=&lt;ALL&gt;,T=&lt;ALL&gt;,K=/LA/JnlSrc,F=EDUCATION POSTS.IE,T=EDUCATION POSTS.IE,K=/LA/CA/Nme,E=1,O=/LA/BseAmt,XLBVal:6=-36"&amp;"90.000",)</f>
        <v>-3690</v>
      </c>
    </row>
    <row r="146" spans="1:3" x14ac:dyDescent="0.25">
      <c r="A146" s="9" t="s">
        <v>373</v>
      </c>
      <c r="B146" s="9" t="s">
        <v>374</v>
      </c>
      <c r="C146" s="16">
        <f>[1]!QAA_AGG("1,2,SS6,LA,F=KCA,K=DbC,F=A,K=/LA/Ldg,F=CWK000,T=CWK000,K=/LA/AccCde,F=001/2022,T=012/2022,K=/LA/Prd,F=P,T=PINV,K=/LA/JnlTyp,F=&lt;ALL&gt;,K=/LA/Alc,F=&lt;ALL&gt;,T=&lt;ALL&gt;,K=/LA/JnlSrc,F=WKW FM LTD.,T=WKW FM LTD.,K=/LA/CA/Nme,E=1,O=/LA/BseAmt,XLBVal:6=-3690.000",)</f>
        <v>-3690</v>
      </c>
    </row>
    <row r="147" spans="1:3" x14ac:dyDescent="0.25">
      <c r="A147" s="9" t="s">
        <v>71</v>
      </c>
      <c r="B147" s="9" t="s">
        <v>379</v>
      </c>
      <c r="C147" s="16">
        <f>[1]!QAA_AGG("1,2,SS6,LA,F=KCA,K=DbC,F=A,K=/LA/Ldg,F=CLA078,T=CLA078,K=/LA/AccCde,F=001/2022,T=012/2022,K=/LA/Prd,F=P,T=PINV,K=/LA/JnlTyp,F=&lt;ALL&gt;,K=/LA/Alc,F=&lt;ALL&gt;,T=&lt;ALL&gt;,K=/LA/JnlSrc,F=LA ROUSSE FOODS,T=LA ROUSSE FOODS,K=/LA/CA/Nme,E=1,O=/LA/BseAmt,XLBVal:6=-3687.180"&amp;"",)</f>
        <v>-3687.18</v>
      </c>
    </row>
    <row r="148" spans="1:3" x14ac:dyDescent="0.25">
      <c r="A148" s="9" t="s">
        <v>382</v>
      </c>
      <c r="B148" s="9" t="s">
        <v>383</v>
      </c>
      <c r="C148" s="16">
        <f>[1]!QAA_AGG("1,2,SS6,LA,F=KCA,K=DbC,F=A,K=/LA/Ldg,F=CLU013,T=CLU013,K=/LA/AccCde,F=001/2022,T=012/2022,K=/LA/Prd,F=P,T=PINV,K=/LA/JnlTyp,F=&lt;ALL&gt;,K=/LA/Alc,F=&lt;ALL&gt;,T=&lt;ALL&gt;,K=/LA/JnlSrc,F=LUISE NORDMEYER,T=LUISE NORDMEYER,K=/LA/CA/Nme,E=1,O=/LA/BseAmt,XLBVal:6=-3672.000"&amp;"",)</f>
        <v>-3672</v>
      </c>
    </row>
    <row r="149" spans="1:3" x14ac:dyDescent="0.25">
      <c r="A149" s="9" t="s">
        <v>380</v>
      </c>
      <c r="B149" s="9" t="s">
        <v>381</v>
      </c>
      <c r="C149" s="16">
        <f>[1]!QAA_AGG("1,2,SS6,LA,F=KCA,K=DbC,F=A,K=/LA/Ldg,F=CHE087,T=CHE087,K=/LA/AccCde,F=001/2022,T=012/2022,K=/LA/Prd,F=P,T=PINV,K=/LA/JnlTyp,F=&lt;ALL&gt;,K=/LA/Alc,F=&lt;ALL&gt;,T=&lt;ALL&gt;,K=/LA/JnlSrc,F=HENDRIK BEEMELMANNS,T=HENDRIK BEEMELMANNS,K=/LA/CA/Nme,E=1,O=/LA/BseAmt,XLBVal:6=-"&amp;"3672.000",)</f>
        <v>-3672</v>
      </c>
    </row>
    <row r="150" spans="1:3" x14ac:dyDescent="0.25">
      <c r="A150" s="9" t="s">
        <v>384</v>
      </c>
      <c r="B150" s="9" t="s">
        <v>385</v>
      </c>
      <c r="C150" s="16">
        <f>[1]!QAA_AGG("1,2,SS6,LA,F=KCA,K=DbC,F=A,K=/LA/Ldg,F=CCI028,T=CCI028,K=/LA/AccCde,F=001/2022,T=012/2022,K=/LA/Prd,F=P,T=PINV,K=/LA/JnlTyp,F=&lt;ALL&gt;,K=/LA/Alc,F=&lt;ALL&gt;,T=&lt;ALL&gt;,K=/LA/JnlSrc,F=KIERAN O'BRIEN T/A DRIVERS ED IRELAND,T=KIERAN O'BRIEN T/A DRIVERS ED IRELAND,K=/L"&amp;"A/CA/Nme,E=1,O=/LA/BseAmt,XLBVal:6=-3640.000",)</f>
        <v>-3640</v>
      </c>
    </row>
    <row r="151" spans="1:3" x14ac:dyDescent="0.25">
      <c r="A151" s="9" t="s">
        <v>386</v>
      </c>
      <c r="B151" s="9" t="s">
        <v>387</v>
      </c>
      <c r="C151" s="16">
        <f>[1]!QAA_AGG("1,2,SS6,LA,F=KCA,K=DbC,F=A,K=/LA/Ldg,F=CAP004,T=CAP004,K=/LA/AccCde,F=001/2022,T=012/2022,K=/LA/Prd,F=P,T=PINV,K=/LA/JnlTyp,F=&lt;ALL&gt;,K=/LA/Alc,F=&lt;ALL&gt;,T=&lt;ALL&gt;,K=/LA/JnlSrc,F=Apex Surveys,T=Apex Surveys,K=/LA/CA/Nme,E=1,O=/LA/BseAmt,XLBVal:6=-3594.700",)</f>
        <v>-3594.7</v>
      </c>
    </row>
    <row r="152" spans="1:3" x14ac:dyDescent="0.25">
      <c r="A152" s="9" t="s">
        <v>388</v>
      </c>
      <c r="B152" s="9" t="s">
        <v>389</v>
      </c>
      <c r="C152" s="16">
        <f>[1]!QAA_AGG("1,2,SS6,LA,F=KCA,K=DbC,F=A,K=/LA/Ldg,F=CAL041,T=CAL041,K=/LA/AccCde,F=001/2022,T=012/2022,K=/LA/Prd,F=P,T=PINV,K=/LA/JnlTyp,F=&lt;ALL&gt;,K=/LA/Alc,F=&lt;ALL&gt;,T=&lt;ALL&gt;,K=/LA/JnlSrc,F=ALAN COMMINS1,T=ALAN COMMINS1,K=/LA/CA/Nme,E=1,O=/LA/BseAmt,XLBVal:6=-3593.430",)</f>
        <v>-3593.43</v>
      </c>
    </row>
    <row r="153" spans="1:3" x14ac:dyDescent="0.25">
      <c r="A153" s="9" t="s">
        <v>390</v>
      </c>
      <c r="B153" s="9" t="s">
        <v>391</v>
      </c>
      <c r="C153" s="16">
        <f>[1]!QAA_AGG("1,2,SS6,LA,F=KCA,K=DbC,F=A,K=/LA/Ldg,F=CAP000,T=CAP000,K=/LA/AccCde,F=001/2022,T=012/2022,K=/LA/Prd,F=P,T=PINV,K=/LA/JnlTyp,F=&lt;ALL&gt;,K=/LA/Alc,F=&lt;ALL&gt;,T=&lt;ALL&gt;,K=/LA/JnlSrc,F=AP SYSTEMS LTD,T=AP SYSTEMS LTD,K=/LA/CA/Nme,E=1,O=/LA/BseAmt,XLBVal:6=-3590.720",)</f>
        <v>-3590.72</v>
      </c>
    </row>
    <row r="154" spans="1:3" x14ac:dyDescent="0.25">
      <c r="A154" s="9" t="s">
        <v>394</v>
      </c>
      <c r="B154" s="9" t="s">
        <v>395</v>
      </c>
      <c r="C154" s="16">
        <f>[1]!QAA_AGG("1,2,SS6,LA,F=KCA,K=DbC,F=A,K=/LA/Ldg,F=CPR036,T=CPR036,K=/LA/AccCde,F=001/2022,T=012/2022,K=/LA/Prd,F=P,T=PINV,K=/LA/JnlTyp,F=&lt;ALL&gt;,K=/LA/Alc,F=&lt;ALL&gt;,T=&lt;ALL&gt;,K=/LA/JnlSrc,F=PREMIER FIRST AID TRAINING,T=PREMIER FIRST AID TRAINING,K=/LA/CA/Nme,E=1,O=/LA/Bse"&amp;"Amt,XLBVal:6=-3580.000",)</f>
        <v>-3580</v>
      </c>
    </row>
    <row r="155" spans="1:3" x14ac:dyDescent="0.25">
      <c r="A155" s="9" t="s">
        <v>392</v>
      </c>
      <c r="B155" s="9" t="s">
        <v>393</v>
      </c>
      <c r="C155" s="16">
        <f>[1]!QAA_AGG("1,2,SS6,LA,F=KCA,K=DbC,F=A,K=/LA/Ldg,F=CSE108,T=CSE108,K=/LA/AccCde,F=001/2022,T=012/2022,K=/LA/Prd,F=P,T=PINV,K=/LA/JnlTyp,F=&lt;ALL&gt;,K=/LA/Alc,F=&lt;ALL&gt;,T=&lt;ALL&gt;,K=/LA/JnlSrc,F=SEOMRA SOLAS,T=SEOMRA SOLAS,K=/LA/CA/Nme,E=1,O=/LA/BseAmt,XLBVal:6=-3524.230",)</f>
        <v>-3524.23</v>
      </c>
    </row>
    <row r="156" spans="1:3" x14ac:dyDescent="0.25">
      <c r="A156" s="9" t="s">
        <v>396</v>
      </c>
      <c r="B156" s="9" t="s">
        <v>397</v>
      </c>
      <c r="C156" s="16">
        <f>[1]!QAA_AGG("1,2,SS6,LA,F=KCA,K=DbC,F=A,K=/LA/Ldg,F=CDE113,T=CDE113,K=/LA/AccCde,F=001/2022,T=012/2022,K=/LA/Prd,F=P,T=PINV,K=/LA/JnlTyp,F=&lt;ALL&gt;,K=/LA/Alc,F=&lt;ALL&gt;,T=&lt;ALL&gt;,K=/LA/JnlSrc,F=DENIS TREACY,T=DENIS TREACY,K=/LA/CA/Nme,E=1,O=/LA/BseAmt,XLBVal:6=-3500.000",)</f>
        <v>-3500</v>
      </c>
    </row>
    <row r="157" spans="1:3" x14ac:dyDescent="0.25">
      <c r="A157" s="9" t="s">
        <v>400</v>
      </c>
      <c r="B157" s="9" t="s">
        <v>401</v>
      </c>
      <c r="C157" s="16">
        <f>[1]!QAA_AGG("1,2,SS6,LA,F=KCA,K=DbC,F=A,K=/LA/Ldg,F=CLO064,T=CLO064,K=/LA/AccCde,F=001/2022,T=012/2022,K=/LA/Prd,F=P,T=PINV,K=/LA/JnlTyp,F=&lt;ALL&gt;,K=/LA/Alc,F=&lt;ALL&gt;,T=&lt;ALL&gt;,K=/LA/JnlSrc,F=LOUISE GAMBRILL,T=LOUISE GAMBRILL,K=/LA/CA/Nme,E=1,O=/LA/BseAmt,XLBVal:6=-3400.000"&amp;"",)</f>
        <v>-3400</v>
      </c>
    </row>
    <row r="158" spans="1:3" x14ac:dyDescent="0.25">
      <c r="A158" s="9" t="s">
        <v>398</v>
      </c>
      <c r="B158" s="9" t="s">
        <v>399</v>
      </c>
      <c r="C158" s="16">
        <f>[1]!QAA_AGG("1,2,SS6,LA,F=KCA,K=DbC,F=A,K=/LA/Ldg,F=CBO002,T=CBO002,K=/LA/AccCde,F=001/2022,T=012/2022,K=/LA/Prd,F=P,T=PINV,K=/LA/JnlTyp,F=&lt;ALL&gt;,K=/LA/Alc,F=&lt;ALL&gt;,T=&lt;ALL&gt;,K=/LA/JnlSrc,F=BOC GASES IRELAND LTD,T=BOC GASES IRELAND LTD,K=/LA/CA/Nme,E=1,O=/LA/BseAmt,XLBVal"&amp;":6=-3383.500",)</f>
        <v>-3383.5</v>
      </c>
    </row>
    <row r="159" spans="1:3" x14ac:dyDescent="0.25">
      <c r="A159" s="9" t="s">
        <v>402</v>
      </c>
      <c r="B159" s="9" t="s">
        <v>403</v>
      </c>
      <c r="C159" s="16">
        <f>[1]!QAA_AGG("1,2,SS6,LA,F=KCA,K=DbC,F=A,K=/LA/Ldg,F=CFA025,T=CFA025,K=/LA/AccCde,F=001/2022,T=012/2022,K=/LA/Prd,F=P,T=PINV,K=/LA/JnlTyp,F=&lt;ALL&gt;,K=/LA/Alc,F=&lt;ALL&gt;,T=&lt;ALL&gt;,K=/LA/JnlSrc,F=FARRELL BROTHERS ARDEE LTD,T=FARRELL BROTHERS ARDEE LTD,K=/LA/CA/Nme,E=1,O=/LA/Bse"&amp;"Amt,XLBVal:6=-3345.170",)</f>
        <v>-3345.17</v>
      </c>
    </row>
    <row r="160" spans="1:3" x14ac:dyDescent="0.25">
      <c r="A160" s="9" t="s">
        <v>404</v>
      </c>
      <c r="B160" s="9" t="s">
        <v>405</v>
      </c>
      <c r="C160" s="16">
        <f>[1]!QAA_AGG("1,2,SS6,LA,F=KCA,K=DbC,F=A,K=/LA/Ldg,F=CPD007,T=CPD007,K=/LA/AccCde,F=001/2022,T=012/2022,K=/LA/Prd,F=P,T=PINV,K=/LA/JnlTyp,F=&lt;ALL&gt;,K=/LA/Alc,F=&lt;ALL&gt;,T=&lt;ALL&gt;,K=/LA/JnlSrc,F=PD FENCING LTD,T=PD FENCING LTD,K=/LA/CA/Nme,E=1,O=/LA/BseAmt,XLBVal:6=-3334.630",)</f>
        <v>-3334.63</v>
      </c>
    </row>
    <row r="161" spans="1:3" x14ac:dyDescent="0.25">
      <c r="A161" s="9" t="s">
        <v>406</v>
      </c>
      <c r="B161" s="9" t="s">
        <v>407</v>
      </c>
      <c r="C161" s="16">
        <f>[1]!QAA_AGG("1,2,SS6,LA,F=KCA,K=DbC,F=A,K=/LA/Ldg,F=CNE036,T=CNE036,K=/LA/AccCde,F=001/2022,T=012/2022,K=/LA/Prd,F=P,T=PINV,K=/LA/JnlTyp,F=&lt;ALL&gt;,K=/LA/Alc,F=&lt;ALL&gt;,T=&lt;ALL&gt;,K=/LA/JnlSrc,F=NEWCOURT RETIREMENT FUND MAN. LTD (JOHN O SHEA),T=NEWCOURT RETIREMENT FUND MAN. LT"&amp;"D (JOHN O SHEA),K=/LA/CA/Nme,E=1,O=/LA/BseAmt,XLBVal:6=-3333.280",)</f>
        <v>-3333.28</v>
      </c>
    </row>
    <row r="162" spans="1:3" x14ac:dyDescent="0.25">
      <c r="A162" s="9" t="s">
        <v>541</v>
      </c>
      <c r="B162" s="9" t="s">
        <v>542</v>
      </c>
      <c r="C162" s="16">
        <f>[1]!QAA_AGG("1,2,SS6,LA,F=KCA,K=DbC,F=A,K=/LA/Ldg,F=CEX001,T=CEX001,K=/LA/AccCde,F=001/2022,T=012/2022,K=/LA/Prd,F=P,T=PINV,K=/LA/JnlTyp,F=&lt;ALL&gt;,K=/LA/Alc,F=&lt;ALL&gt;,T=&lt;ALL&gt;,K=/LA/JnlSrc,F=PEAK LEARNING LTD T/A EXAMCRAFT GROUP,T=PEAK LEARNING LTD T/A EXAMCRAFT GROUP,K=/L"&amp;"A/CA/Nme,E=1,O=/LA/BseAmt,XLBVal:6=-3328.000",)</f>
        <v>-3328</v>
      </c>
    </row>
    <row r="163" spans="1:3" x14ac:dyDescent="0.25">
      <c r="A163" s="9" t="s">
        <v>408</v>
      </c>
      <c r="B163" s="9" t="s">
        <v>409</v>
      </c>
      <c r="C163" s="16">
        <f>[1]!QAA_AGG("1,2,SS6,LA,F=KCA,K=DbC,F=A,K=/LA/Ldg,F=CSP018,T=CSP018,K=/LA/AccCde,F=001/2022,T=012/2022,K=/LA/Prd,F=P,T=PINV,K=/LA/JnlTyp,F=&lt;ALL&gt;,K=/LA/Alc,F=&lt;ALL&gt;,T=&lt;ALL&gt;,K=/LA/JnlSrc,F=SPRINGHILL COURT HOTEL,T=SPRINGHILL COURT HOTEL,K=/LA/CA/Nme,E=1,O=/LA/BseAmt,XLBV"&amp;"al:6=-3220.000",)</f>
        <v>-3220</v>
      </c>
    </row>
    <row r="164" spans="1:3" x14ac:dyDescent="0.25">
      <c r="A164" s="9" t="s">
        <v>410</v>
      </c>
      <c r="B164" s="9" t="s">
        <v>411</v>
      </c>
      <c r="C164" s="16">
        <f>[1]!QAA_AGG("1,2,SS6,LA,F=KCA,K=DbC,F=A,K=/LA/Ldg,F=CPE001,T=CPE001,K=/LA/AccCde,F=001/2022,T=012/2022,K=/LA/Prd,F=P,T=PINV,K=/LA/JnlTyp,F=&lt;ALL&gt;,K=/LA/Alc,F=&lt;ALL&gt;,T=&lt;ALL&gt;,K=/LA/JnlSrc,F=PERRYS CASH &amp; CARRY,T=PERRYS CASH &amp; CARRY,K=/LA/CA/Nme,E=1,O=/LA/BseAmt,XLBVal:6=-"&amp;"3189.940",)</f>
        <v>-3189.94</v>
      </c>
    </row>
    <row r="165" spans="1:3" x14ac:dyDescent="0.25">
      <c r="A165" s="9" t="s">
        <v>412</v>
      </c>
      <c r="B165" s="9" t="s">
        <v>413</v>
      </c>
      <c r="C165" s="16">
        <f>[1]!QAA_AGG("1,2,SS6,LA,F=KCA,K=DbC,F=A,K=/LA/Ldg,F=CST122,T=CST122,K=/LA/AccCde,F=001/2022,T=012/2022,K=/LA/Prd,F=P,T=PINV,K=/LA/JnlTyp,F=&lt;ALL&gt;,K=/LA/Alc,F=&lt;ALL&gt;,T=&lt;ALL&gt;,K=/LA/JnlSrc,F=ST CANICES NEIGHBOURHOOD HALL (ST CANICES COMMUNIT,T=ST CANICES NEIGHBOURHOOD HALL"&amp;" (ST CANICES COMMUNIT,K=/LA/CA/Nme,E=1,O=/LA/BseAmt,XLBVal:6=-3150.000",)</f>
        <v>-3150</v>
      </c>
    </row>
    <row r="166" spans="1:3" x14ac:dyDescent="0.25">
      <c r="A166" s="9" t="s">
        <v>416</v>
      </c>
      <c r="B166" s="9" t="s">
        <v>417</v>
      </c>
      <c r="C166" s="16">
        <f>[1]!QAA_AGG("1,2,SS6,LA,F=KCA,K=DbC,F=A,K=/LA/Ldg,F=CST056,T=CST056,K=/LA/AccCde,F=001/2022,T=012/2022,K=/LA/Prd,F=P,T=PINV,K=/LA/JnlTyp,F=&lt;ALL&gt;,K=/LA/Alc,F=&lt;ALL&gt;,T=&lt;ALL&gt;,K=/LA/JnlSrc,F=ST.  KIERANS COLLEGE,T=ST.  KIERANS COLLEGE,K=/LA/CA/Nme,E=1,O=/LA/BseAmt,XLBVal:6"&amp;"=-3120.000",)</f>
        <v>-3120</v>
      </c>
    </row>
    <row r="167" spans="1:3" x14ac:dyDescent="0.25">
      <c r="A167" s="9" t="s">
        <v>418</v>
      </c>
      <c r="B167" s="9" t="s">
        <v>419</v>
      </c>
      <c r="C167" s="16">
        <f>[1]!QAA_AGG("1,2,SS6,LA,F=KCA,K=DbC,F=A,K=/LA/Ldg,F=CFR012,T=CFR012,K=/LA/AccCde,F=001/2022,T=012/2022,K=/LA/Prd,F=P,T=PINV,K=/LA/JnlTyp,F=&lt;ALL&gt;,K=/LA/Alc,F=&lt;ALL&gt;,T=&lt;ALL&gt;,K=/LA/JnlSrc,F=Frametastic - Gavin Byrne,T=Frametastic - Gavin Byrne,K=/LA/CA/Nme,E=1,O=/LA/BseAm"&amp;"t,XLBVal:6=-3113.440",)</f>
        <v>-3113.44</v>
      </c>
    </row>
    <row r="168" spans="1:3" x14ac:dyDescent="0.25">
      <c r="A168" s="9" t="s">
        <v>414</v>
      </c>
      <c r="B168" s="9" t="s">
        <v>415</v>
      </c>
      <c r="C168" s="16">
        <f>[1]!QAA_AGG("1,2,SS6,LA,F=KCA,K=DbC,F=A,K=/LA/Ldg,F=CME037,T=CME037,K=/LA/AccCde,F=001/2022,T=012/2022,K=/LA/Prd,F=P,T=PINV,K=/LA/JnlTyp,F=&lt;ALL&gt;,K=/LA/Alc,F=&lt;ALL&gt;,T=&lt;ALL&gt;,K=/LA/JnlSrc,F=MEDGUARD HEALTHCARE,T=MEDGUARD HEALTHCARE,K=/LA/CA/Nme,E=1,O=/LA/BseAmt,XLBVal:6=-"&amp;"3093.230",)</f>
        <v>-3093.23</v>
      </c>
    </row>
    <row r="169" spans="1:3" x14ac:dyDescent="0.25">
      <c r="A169" s="9" t="s">
        <v>420</v>
      </c>
      <c r="B169" s="9" t="s">
        <v>421</v>
      </c>
      <c r="C169" s="16">
        <f>[1]!QAA_AGG("1,2,SS6,LA,F=KCA,K=DbC,F=A,K=/LA/Ldg,F=CDA076,T=CDA076,K=/LA/AccCde,F=001/2022,T=012/2022,K=/LA/Prd,F=P,T=PINV,K=/LA/JnlTyp,F=&lt;ALL&gt;,K=/LA/Alc,F=&lt;ALL&gt;,T=&lt;ALL&gt;,K=/LA/JnlSrc,F=DANVILLE BUS PARK C/O MASON OWEN &amp; LYONS,T=DANVILLE BUS PARK C/O MASON OWEN &amp; LYON"&amp;"S,K=/LA/CA/Nme,E=1,O=/LA/BseAmt,XLBVal:6=-3085.120",)</f>
        <v>-3085.12</v>
      </c>
    </row>
    <row r="170" spans="1:3" x14ac:dyDescent="0.25">
      <c r="A170" s="9" t="s">
        <v>424</v>
      </c>
      <c r="B170" s="9" t="s">
        <v>425</v>
      </c>
      <c r="C170" s="16">
        <f>[1]!QAA_AGG("1,2,SS6,LA,F=KCA,K=DbC,F=A,K=/LA/Ldg,F=COC003,T=COC003,K=/LA/AccCde,F=001/2022,T=012/2022,K=/LA/Prd,F=P,T=PINV,K=/LA/JnlTyp,F=&lt;ALL&gt;,K=/LA/Alc,F=&lt;ALL&gt;,T=&lt;ALL&gt;,K=/LA/JnlSrc,F=OCEAN HYGIENE SUPPLIES &amp; PACKAGING,T=OCEAN HYGIENE SUPPLIES &amp; PACKAGING,K=/LA/CA/N"&amp;"me,E=1,O=/LA/BseAmt,XLBVal:6=-3044.250",)</f>
        <v>-3044.25</v>
      </c>
    </row>
    <row r="171" spans="1:3" x14ac:dyDescent="0.25">
      <c r="A171" s="9" t="s">
        <v>96</v>
      </c>
      <c r="B171" s="9" t="s">
        <v>426</v>
      </c>
      <c r="C171" s="16">
        <f>[1]!QAA_AGG("1,2,SS6,LA,F=KCA,K=DbC,F=A,K=/LA/Ldg,F=COF005,T=COF005,K=/LA/AccCde,F=001/2022,T=012/2022,K=/LA/Prd,F=P,T=PINV,K=/LA/JnlTyp,F=&lt;ALL&gt;,K=/LA/Alc,F=&lt;ALL&gt;,T=&lt;ALL&gt;,K=/LA/JnlSrc,F=O'Flynn Exhams LLP,T=O'Flynn Exhams LLP,K=/LA/CA/Nme,E=1,O=/LA/BseAmt,XLBVal:6=-30"&amp;"09.190",)</f>
        <v>-3009.19</v>
      </c>
    </row>
    <row r="172" spans="1:3" x14ac:dyDescent="0.25">
      <c r="A172" s="9" t="s">
        <v>422</v>
      </c>
      <c r="B172" s="9" t="s">
        <v>423</v>
      </c>
      <c r="C172" s="16">
        <f>[1]!QAA_AGG("1,2,SS6,LA,F=KCA,K=DbC,F=A,K=/LA/Ldg,F=CAT010,T=CAT010,K=/LA/AccCde,F=001/2022,T=012/2022,K=/LA/Prd,F=P,T=PINV,K=/LA/JnlTyp,F=&lt;ALL&gt;,K=/LA/Alc,F=&lt;ALL&gt;,T=&lt;ALL&gt;,K=/LA/JnlSrc,F=ATHENA ANALYTICS LTD.,T=ATHENA ANALYTICS LTD.,K=/LA/CA/Nme,E=1,O=/LA/BseAmt,XLBVal"&amp;":6=-3004.890",)</f>
        <v>-3004.89</v>
      </c>
    </row>
    <row r="173" spans="1:3" x14ac:dyDescent="0.25">
      <c r="A173" s="9" t="s">
        <v>427</v>
      </c>
      <c r="B173" s="9" t="s">
        <v>428</v>
      </c>
      <c r="C173" s="16">
        <f>[1]!QAA_AGG("1,2,SS6,LA,F=KCA,K=DbC,F=A,K=/LA/Ldg,F=CCO185,T=CCO185,K=/LA/AccCde,F=001/2022,T=012/2022,K=/LA/Prd,F=P,T=PINV,K=/LA/JnlTyp,F=&lt;ALL&gt;,K=/LA/Alc,F=&lt;ALL&gt;,T=&lt;ALL&gt;,K=/LA/JnlSrc,F=COFFEE LABORATORY LTD,T=COFFEE LABORATORY LTD,K=/LA/CA/Nme,E=1,O=/LA/BseAmt,XLBVal"&amp;":6=-3000.000",)</f>
        <v>-3000</v>
      </c>
    </row>
    <row r="174" spans="1:3" x14ac:dyDescent="0.25">
      <c r="A174" s="9" t="s">
        <v>429</v>
      </c>
      <c r="B174" s="9" t="s">
        <v>430</v>
      </c>
      <c r="C174" s="16">
        <f>[1]!QAA_AGG("1,2,SS6,LA,F=KCA,K=DbC,F=A,K=/LA/Ldg,F=CMA420,T=CMA420,K=/LA/AccCde,F=001/2022,T=012/2022,K=/LA/Prd,F=P,T=PINV,K=/LA/JnlTyp,F=&lt;ALL&gt;,K=/LA/Alc,F=&lt;ALL&gt;,T=&lt;ALL&gt;,K=/LA/JnlSrc,F=MARK DOYLE RAILWAY INN,T=MARK DOYLE RAILWAY INN,K=/LA/CA/Nme,E=1,O=/LA/BseAmt,XLBV"&amp;"al:6=-2943.600",)</f>
        <v>-2943.6</v>
      </c>
    </row>
    <row r="175" spans="1:3" x14ac:dyDescent="0.25">
      <c r="A175" s="9" t="s">
        <v>433</v>
      </c>
      <c r="B175" s="9" t="s">
        <v>434</v>
      </c>
      <c r="C175" s="16">
        <f>[1]!QAA_AGG("1,2,SS6,LA,F=KCA,K=DbC,F=A,K=/LA/Ldg,F=CSP031,T=CSP031,K=/LA/AccCde,F=001/2022,T=012/2022,K=/LA/Prd,F=P,T=PINV,K=/LA/JnlTyp,F=&lt;ALL&gt;,K=/LA/Alc,F=&lt;ALL&gt;,T=&lt;ALL&gt;,K=/LA/JnlSrc,F=SPRING HOSPITALITY T/A THE HOBAN,T=SPRING HOSPITALITY T/A THE HOBAN,K=/LA/CA/Nme,E"&amp;"=1,O=/LA/BseAmt,XLBVal:6=-2858.700",)</f>
        <v>-2858.7</v>
      </c>
    </row>
    <row r="176" spans="1:3" x14ac:dyDescent="0.25">
      <c r="A176" s="9" t="s">
        <v>431</v>
      </c>
      <c r="B176" s="9" t="s">
        <v>432</v>
      </c>
      <c r="C176" s="16">
        <f>[1]!QAA_AGG("1,2,SS6,LA,F=KCA,K=DbC,F=A,K=/LA/Ldg,F=CDO005,T=CDO005,K=/LA/AccCde,F=001/2022,T=012/2022,K=/LA/Prd,F=P,T=PINV,K=/LA/JnlTyp,F=&lt;ALL&gt;,K=/LA/Alc,F=&lt;ALL&gt;,T=&lt;ALL&gt;,K=/LA/JnlSrc,F=M.P. DOYLE LTD. HARDWARE,T=M.P. DOYLE LTD. HARDWARE,K=/LA/CA/Nme,E=1,O=/LA/BseAmt,"&amp;"XLBVal:6=-2807.040",)</f>
        <v>-2807.04</v>
      </c>
    </row>
    <row r="177" spans="1:3" x14ac:dyDescent="0.25">
      <c r="A177" s="9" t="s">
        <v>439</v>
      </c>
      <c r="B177" s="9" t="s">
        <v>440</v>
      </c>
      <c r="C177" s="16">
        <f>[1]!QAA_AGG("1,2,SS6,LA,F=KCA,K=DbC,F=A,K=/LA/Ldg,F=CMI021,T=CMI021,K=/LA/AccCde,F=001/2022,T=012/2022,K=/LA/Prd,F=P,T=PINV,K=/LA/JnlTyp,F=&lt;ALL&gt;,K=/LA/Alc,F=&lt;ALL&gt;,T=&lt;ALL&gt;,K=/LA/JnlSrc,F=MICROMAIL,T=MICROMAIL,K=/LA/CA/Nme,E=1,O=/LA/BseAmt,XLBVal:6=-2706.000",)</f>
        <v>-2706</v>
      </c>
    </row>
    <row r="178" spans="1:3" x14ac:dyDescent="0.25">
      <c r="A178" s="9" t="s">
        <v>437</v>
      </c>
      <c r="B178" s="9" t="s">
        <v>438</v>
      </c>
      <c r="C178" s="16">
        <f>[1]!QAA_AGG("1,2,SS6,LA,F=KCA,K=DbC,F=A,K=/LA/Ldg,F=CPI000,T=CPI000,K=/LA/AccCde,F=001/2022,T=012/2022,K=/LA/Prd,F=P,T=PINV,K=/LA/JnlTyp,F=&lt;ALL&gt;,K=/LA/Alc,F=&lt;ALL&gt;,T=&lt;ALL&gt;,K=/LA/JnlSrc,F=PITNEY BOWES (IRELAND) LTD,T=PITNEY BOWES (IRELAND) LTD,K=/LA/CA/Nme,E=1,O=/LA/Bse"&amp;"Amt,XLBVal:6=-2699.380",)</f>
        <v>-2699.38</v>
      </c>
    </row>
    <row r="179" spans="1:3" x14ac:dyDescent="0.25">
      <c r="A179" s="9" t="s">
        <v>441</v>
      </c>
      <c r="B179" s="9" t="s">
        <v>442</v>
      </c>
      <c r="C179" s="16">
        <f>[1]!QAA_AGG("1,2,SS6,LA,F=KCA,K=DbC,F=A,K=/LA/Ldg,F=CSE049,T=CSE049,K=/LA/AccCde,F=001/2022,T=012/2022,K=/LA/Prd,F=P,T=PINV,K=/LA/JnlTyp,F=&lt;ALL&gt;,K=/LA/Alc,F=&lt;ALL&gt;,T=&lt;ALL&gt;,K=/LA/JnlSrc,F=KARWALL LTD T/A SENTRY SECURITY,T=KARWALL LTD T/A SENTRY SECURITY,K=/LA/CA/Nme,E=1"&amp;",O=/LA/BseAmt,XLBVal:6=-2681.410",)</f>
        <v>-2681.41</v>
      </c>
    </row>
    <row r="180" spans="1:3" x14ac:dyDescent="0.25">
      <c r="A180" s="9" t="s">
        <v>443</v>
      </c>
      <c r="B180" s="9" t="s">
        <v>444</v>
      </c>
      <c r="C180" s="16">
        <f>[1]!QAA_AGG("1,2,SS6,LA,F=KCA,K=DbC,F=A,K=/LA/Ldg,F=CJA138,T=CJA138,K=/LA/AccCde,F=001/2022,T=012/2022,K=/LA/Prd,F=P,T=PINV,K=/LA/JnlTyp,F=&lt;ALL&gt;,K=/LA/Alc,F=&lt;ALL&gt;,T=&lt;ALL&gt;,K=/LA/JnlSrc,F=JAMES LYSTER CONSELLING AND PSYCHOTHERAPY,T=JAMES LYSTER CONSELLING AND PSYCHOTHER"&amp;"APY,K=/LA/CA/Nme,E=1,O=/LA/BseAmt,XLBVal:6=-2680.000",)</f>
        <v>-2680</v>
      </c>
    </row>
    <row r="181" spans="1:3" x14ac:dyDescent="0.25">
      <c r="A181" s="9" t="s">
        <v>435</v>
      </c>
      <c r="B181" s="9" t="s">
        <v>436</v>
      </c>
      <c r="C181" s="16">
        <f>[1]!QAA_AGG("1,2,SS6,LA,F=KCA,K=DbC,F=A,K=/LA/Ldg,F=CSI034,T=CSI034,K=/LA/AccCde,F=001/2022,T=012/2022,K=/LA/Prd,F=P,T=PINV,K=/LA/JnlTyp,F=&lt;ALL&gt;,K=/LA/Alc,F=&lt;ALL&gt;,T=&lt;ALL&gt;,K=/LA/JnlSrc,F=SINGER SEWING CENTRE,T=SINGER SEWING CENTRE,K=/LA/CA/Nme,E=1,O=/LA/BseAmt,XLBVal:6"&amp;"=-2679.000",)</f>
        <v>-2679</v>
      </c>
    </row>
    <row r="182" spans="1:3" x14ac:dyDescent="0.25">
      <c r="A182" s="9" t="s">
        <v>445</v>
      </c>
      <c r="B182" s="9" t="s">
        <v>446</v>
      </c>
      <c r="C182" s="16">
        <f>[1]!QAA_AGG("1,2,SS6,LA,F=KCA,K=DbC,F=A,K=/LA/Ldg,F=CKO001,T=CKO001,K=/LA/AccCde,F=001/2022,T=012/2022,K=/LA/Prd,F=P,T=PINV,K=/LA/JnlTyp,F=&lt;ALL&gt;,K=/LA/Alc,F=&lt;ALL&gt;,T=&lt;ALL&gt;,K=/LA/JnlSrc,F=KONE IRELAND LTD.,T=KONE IRELAND LTD.,K=/LA/CA/Nme,E=1,O=/LA/BseAmt,XLBVal:6=-2652"&amp;".960",)</f>
        <v>-2652.96</v>
      </c>
    </row>
    <row r="183" spans="1:3" x14ac:dyDescent="0.25">
      <c r="A183" s="9" t="s">
        <v>447</v>
      </c>
      <c r="B183" s="9" t="s">
        <v>448</v>
      </c>
      <c r="C183" s="16">
        <f>[1]!QAA_AGG("1,2,SS6,LA,F=KCA,K=DbC,F=A,K=/LA/Ldg,F=CKI020,T=CKI020,K=/LA/AccCde,F=001/2022,T=012/2022,K=/LA/Prd,F=P,T=PINV,K=/LA/JnlTyp,F=&lt;ALL&gt;,K=/LA/Alc,F=&lt;ALL&gt;,T=&lt;ALL&gt;,K=/LA/JnlSrc,F=KILKENNY COUNTY COUNCIL,T=KILKENNY COUNTY COUNCIL,K=/LA/CA/Nme,E=1,O=/LA/BseAmt,XL"&amp;"BVal:6=-2612.500",)</f>
        <v>-2612.5</v>
      </c>
    </row>
    <row r="184" spans="1:3" x14ac:dyDescent="0.25">
      <c r="A184" s="9" t="s">
        <v>449</v>
      </c>
      <c r="B184" s="9" t="s">
        <v>450</v>
      </c>
      <c r="C184" s="16">
        <f>[1]!QAA_AGG("1,2,SS6,LA,F=KCA,K=DbC,F=A,K=/LA/Ldg,F=CTO053,T=CTO053,K=/LA/AccCde,F=001/2022,T=012/2022,K=/LA/Prd,F=P,T=PINV,K=/LA/JnlTyp,F=&lt;ALL&gt;,K=/LA/Alc,F=&lt;ALL&gt;,T=&lt;ALL&gt;,K=/LA/JnlSrc,F=TOP PRO KICKBOXING CLUB,T=TOP PRO KICKBOXING CLUB,K=/LA/CA/Nme,E=1,O=/LA/BseAmt,XL"&amp;"BVal:6=-2600.000",)</f>
        <v>-2600</v>
      </c>
    </row>
    <row r="185" spans="1:3" x14ac:dyDescent="0.25">
      <c r="A185" s="9" t="s">
        <v>451</v>
      </c>
      <c r="B185" s="9" t="s">
        <v>452</v>
      </c>
      <c r="C185" s="16">
        <f>[1]!QAA_AGG("1,2,SS6,LA,F=KCA,K=DbC,F=A,K=/LA/Ldg,F=CRE004,T=CRE004,K=/LA/AccCde,F=001/2022,T=012/2022,K=/LA/Prd,F=P,T=PINV,K=/LA/JnlTyp,F=&lt;ALL&gt;,K=/LA/Alc,F=&lt;ALL&gt;,T=&lt;ALL&gt;,K=/LA/JnlSrc,F=Rehan Electronics Ltd,T=Rehan Electronics Ltd,K=/LA/CA/Nme,E=1,O=/LA/BseAmt,XLBVal"&amp;":6=-2597.760",)</f>
        <v>-2597.7600000000002</v>
      </c>
    </row>
    <row r="186" spans="1:3" x14ac:dyDescent="0.25">
      <c r="A186" s="9" t="s">
        <v>453</v>
      </c>
      <c r="B186" s="9" t="s">
        <v>454</v>
      </c>
      <c r="C186" s="16">
        <f>[1]!QAA_AGG("1,2,SS6,LA,F=KCA,K=DbC,F=A,K=/LA/Ldg,F=CMS007,T=CMS007,K=/LA/AccCde,F=001/2022,T=012/2022,K=/LA/Prd,F=P,T=PINV,K=/LA/JnlTyp,F=&lt;ALL&gt;,K=/LA/Alc,F=&lt;ALL&gt;,T=&lt;ALL&gt;,K=/LA/JnlSrc,F=MSM CONSULTING ENGINEERS,T=MSM CONSULTING ENGINEERS,K=/LA/CA/Nme,E=1,O=/LA/BseAmt,"&amp;"XLBVal:6=-2575.000",)</f>
        <v>-2575</v>
      </c>
    </row>
    <row r="187" spans="1:3" x14ac:dyDescent="0.25">
      <c r="A187" s="9" t="s">
        <v>455</v>
      </c>
      <c r="B187" s="9" t="s">
        <v>456</v>
      </c>
      <c r="C187" s="16">
        <f>[1]!QAA_AGG("1,2,SS6,LA,F=KCA,K=DbC,F=A,K=/LA/Ldg,F=CTH102,T=CTH102,K=/LA/AccCde,F=001/2022,T=012/2022,K=/LA/Prd,F=P,T=PINV,K=/LA/JnlTyp,F=&lt;ALL&gt;,K=/LA/Alc,F=&lt;ALL&gt;,T=&lt;ALL&gt;,K=/LA/JnlSrc,F=A J BLINDS LTD T/A THE BLINDS BOUTIQUE,T=A J BLINDS LTD T/A THE BLINDS BOUTIQUE,K="&amp;"/LA/CA/Nme,E=1,O=/LA/BseAmt,XLBVal:6=-2507.980",)</f>
        <v>-2507.98</v>
      </c>
    </row>
    <row r="188" spans="1:3" x14ac:dyDescent="0.25">
      <c r="A188" s="9" t="s">
        <v>457</v>
      </c>
      <c r="B188" s="9" t="s">
        <v>458</v>
      </c>
      <c r="C188" s="16">
        <f>[1]!QAA_AGG("1,2,SS6,LA,F=KCA,K=DbC,F=A,K=/LA/Ldg,F=CDE000,T=CDE000,K=/LA/AccCde,F=001/2022,T=012/2022,K=/LA/Prd,F=P,T=PINV,K=/LA/JnlTyp,F=&lt;ALL&gt;,K=/LA/Alc,F=&lt;ALL&gt;,T=&lt;ALL&gt;,K=/LA/JnlSrc,F=DECLAN BYRNE &amp; SONS LTD,T=DECLAN BYRNE &amp; SONS LTD,K=/LA/CA/Nme,E=1,O=/LA/BseAmt,XL"&amp;"BVal:6=-2487.470",)</f>
        <v>-2487.4699999999998</v>
      </c>
    </row>
    <row r="189" spans="1:3" x14ac:dyDescent="0.25">
      <c r="A189" s="9" t="s">
        <v>459</v>
      </c>
      <c r="B189" s="9" t="s">
        <v>460</v>
      </c>
      <c r="C189" s="16">
        <f>[1]!QAA_AGG("1,2,SS6,LA,F=KCA,K=DbC,F=A,K=/LA/Ldg,F=CCH083,T=CCH083,K=/LA/AccCde,F=001/2022,T=012/2022,K=/LA/Prd,F=P,T=PINV,K=/LA/JnlTyp,F=&lt;ALL&gt;,K=/LA/Alc,F=&lt;ALL&gt;,T=&lt;ALL&gt;,K=/LA/JnlSrc,F=CHARLES HUGHES LTD,T=CHARLES HUGHES LTD,K=/LA/CA/Nme,E=1,O=/LA/BseAmt,XLBVal:6=-24"&amp;"60.000",)</f>
        <v>-2460</v>
      </c>
    </row>
    <row r="190" spans="1:3" x14ac:dyDescent="0.25">
      <c r="A190" s="9" t="s">
        <v>492</v>
      </c>
      <c r="B190" s="9" t="s">
        <v>493</v>
      </c>
      <c r="C190" s="16">
        <f>[1]!QAA_AGG("1,2,SS6,LA,F=KCA,K=DbC,F=A,K=/LA/Ldg,F=CJO138,T=CJO138,K=/LA/AccCde,F=001/2022,T=012/2022,K=/LA/Prd,F=P,T=PINV,K=/LA/JnlTyp,F=&lt;ALL&gt;,K=/LA/Alc,F=&lt;ALL&gt;,T=&lt;ALL&gt;,K=/LA/JnlSrc,F=JOHN KINSELLA,T=JOHN KINSELLA,K=/LA/CA/Nme,E=1,O=/LA/BseAmt,XLBVal:6=-2432.130",)</f>
        <v>-2432.13</v>
      </c>
    </row>
    <row r="191" spans="1:3" x14ac:dyDescent="0.25">
      <c r="A191" s="9" t="s">
        <v>461</v>
      </c>
      <c r="B191" s="9" t="s">
        <v>462</v>
      </c>
      <c r="C191" s="16">
        <f>[1]!QAA_AGG("1,2,SS6,LA,F=KCA,K=DbC,F=A,K=/LA/Ldg,F=CBY003,T=CBY003,K=/LA/AccCde,F=001/2022,T=012/2022,K=/LA/Prd,F=P,T=PINV,K=/LA/JnlTyp,F=&lt;ALL&gt;,K=/LA/Alc,F=&lt;ALL&gt;,T=&lt;ALL&gt;,K=/LA/JnlSrc,F=BYTEK OFFICE SYSTMES LTD,T=BYTEK OFFICE SYSTMES LTD,K=/LA/CA/Nme,E=1,O=/LA/BseAmt,"&amp;"XLBVal:6=-2428.910",)</f>
        <v>-2428.91</v>
      </c>
    </row>
    <row r="192" spans="1:3" x14ac:dyDescent="0.25">
      <c r="A192" s="9" t="s">
        <v>1509</v>
      </c>
      <c r="B192" s="9" t="s">
        <v>1510</v>
      </c>
      <c r="C192" s="16">
        <f>[1]!QAA_AGG("1,2,SS6,LA,F=KCA,K=DbC,F=A,K=/LA/Ldg,F=CBO010,T=CBO010,K=/LA/AccCde,F=001/2022,T=012/2022,K=/LA/Prd,F=P,T=PINV,K=/LA/JnlTyp,F=&lt;ALL&gt;,K=/LA/Alc,F=&lt;ALL&gt;,T=&lt;ALL&gt;,K=/LA/JnlSrc,F=Bowsprit Marketing Ltd t/a Creo,T=Bowsprit Marketing Ltd t/a Creo,K=/LA/CA/Nme,E=1"&amp;",O=/LA/BseAmt,XLBVal:6=-2420.500",)</f>
        <v>-2420.5</v>
      </c>
    </row>
    <row r="193" spans="1:3" x14ac:dyDescent="0.25">
      <c r="A193" s="9" t="s">
        <v>95</v>
      </c>
      <c r="B193" s="9" t="s">
        <v>463</v>
      </c>
      <c r="C193" s="16">
        <f>[1]!QAA_AGG("1,2,SS6,LA,F=KCA,K=DbC,F=A,K=/LA/Ldg,F=CNU011,T=CNU011,K=/LA/AccCde,F=001/2022,T=012/2022,K=/LA/Prd,F=P,T=PINV,K=/LA/JnlTyp,F=&lt;ALL&gt;,K=/LA/Alc,F=&lt;ALL&gt;,T=&lt;ALL&gt;,K=/LA/JnlSrc,F=NUGENT SAFETY LTD T/A NUGENT WORK WEAR &amp; SAFETY,T=NUGENT SAFETY LTD T/A NUGENT WOR"&amp;"K WEAR &amp; SAFETY,K=/LA/CA/Nme,E=1,O=/LA/BseAmt,XLBVal:6=-2392.760",)</f>
        <v>-2392.7600000000002</v>
      </c>
    </row>
    <row r="194" spans="1:3" x14ac:dyDescent="0.25">
      <c r="A194" s="9" t="s">
        <v>464</v>
      </c>
      <c r="B194" s="9" t="s">
        <v>465</v>
      </c>
      <c r="C194" s="16">
        <f>[1]!QAA_AGG("1,2,SS6,LA,F=KCA,K=DbC,F=A,K=/LA/Ldg,F=CRI029,T=CRI029,K=/LA/AccCde,F=001/2022,T=012/2022,K=/LA/Prd,F=P,T=PINV,K=/LA/JnlTyp,F=&lt;ALL&gt;,K=/LA/Alc,F=&lt;ALL&gt;,T=&lt;ALL&gt;,K=/LA/JnlSrc,F=RICHARD DAVIS CONSTRUCTION &amp; PLASTERING SERVICES,T=RICHARD DAVIS CONSTRUCTION &amp; PL"&amp;"ASTERING SERVICES,K=/LA/CA/Nme,E=1,O=/LA/BseAmt,XLBVal:6=-2350.000",)</f>
        <v>-2350</v>
      </c>
    </row>
    <row r="195" spans="1:3" x14ac:dyDescent="0.25">
      <c r="A195" s="9" t="s">
        <v>466</v>
      </c>
      <c r="B195" s="9" t="s">
        <v>467</v>
      </c>
      <c r="C195" s="16">
        <f>[1]!QAA_AGG("1,2,SS6,LA,F=KCA,K=DbC,F=A,K=/LA/Ldg,F=CQF001,T=CQF001,K=/LA/AccCde,F=001/2022,T=012/2022,K=/LA/Prd,F=P,T=PINV,K=/LA/JnlTyp,F=&lt;ALL&gt;,K=/LA/Alc,F=&lt;ALL&gt;,T=&lt;ALL&gt;,K=/LA/JnlSrc,F=Q Flow,T=Q Flow,K=/LA/CA/Nme,E=1,O=/LA/BseAmt,XLBVal:6=-2327.790",)</f>
        <v>-2327.79</v>
      </c>
    </row>
    <row r="196" spans="1:3" x14ac:dyDescent="0.25">
      <c r="A196" s="9" t="s">
        <v>67</v>
      </c>
      <c r="B196" s="9" t="s">
        <v>468</v>
      </c>
      <c r="C196" s="16">
        <f>[1]!QAA_AGG("1,2,SS6,LA,F=KCA,K=DbC,F=A,K=/LA/Ldg,F=CIT007,T=CIT007,K=/LA/AccCde,F=001/2022,T=012/2022,K=/LA/Prd,F=P,T=PINV,K=/LA/JnlTyp,F=&lt;ALL&gt;,K=/LA/Alc,F=&lt;ALL&gt;,T=&lt;ALL&gt;,K=/LA/JnlSrc,F=ITEC IRISH TRAINING &amp; EDUCATIONAL CENTRE,T=ITEC IRISH TRAINING &amp; EDUCATIONAL CENTR"&amp;"E,K=/LA/CA/Nme,E=1,O=/LA/BseAmt,XLBVal:6=-2310.000",)</f>
        <v>-2310</v>
      </c>
    </row>
    <row r="197" spans="1:3" x14ac:dyDescent="0.25">
      <c r="A197" s="9" t="s">
        <v>469</v>
      </c>
      <c r="B197" s="9" t="s">
        <v>470</v>
      </c>
      <c r="C197" s="16">
        <f>[1]!QAA_AGG("1,2,SS6,LA,F=KCA,K=DbC,F=A,K=/LA/Ldg,F=CTO049,T=CTO049,K=/LA/AccCde,F=001/2022,T=012/2022,K=/LA/Prd,F=P,T=PINV,K=/LA/JnlTyp,F=&lt;ALL&gt;,K=/LA/Alc,F=&lt;ALL&gt;,T=&lt;ALL&gt;,K=/LA/JnlSrc,F=TOMMY MURPHY,T=TOMMY MURPHY,K=/LA/CA/Nme,E=1,O=/LA/BseAmt,XLBVal:6=-2304.050",)</f>
        <v>-2304.0500000000002</v>
      </c>
    </row>
    <row r="198" spans="1:3" x14ac:dyDescent="0.25">
      <c r="A198" s="9" t="s">
        <v>471</v>
      </c>
      <c r="B198" s="9" t="s">
        <v>472</v>
      </c>
      <c r="C198" s="16">
        <f>[1]!QAA_AGG("1,2,SS6,LA,F=KCA,K=DbC,F=A,K=/LA/Ldg,F=CPR048,T=CPR048,K=/LA/AccCde,F=001/2022,T=012/2022,K=/LA/Prd,F=P,T=PINV,K=/LA/JnlTyp,F=&lt;ALL&gt;,K=/LA/Alc,F=&lt;ALL&gt;,T=&lt;ALL&gt;,K=/LA/JnlSrc,F=THE PRINCIPAL (SCHOOL A/C),T=THE PRINCIPAL (SCHOOL A/C),K=/LA/CA/Nme,E=1,O=/LA/Bse"&amp;"Amt,XLBVal:6=-2285.000",)</f>
        <v>-2285</v>
      </c>
    </row>
    <row r="199" spans="1:3" x14ac:dyDescent="0.25">
      <c r="A199" s="9" t="s">
        <v>473</v>
      </c>
      <c r="B199" s="9" t="s">
        <v>474</v>
      </c>
      <c r="C199" s="16">
        <f>[1]!QAA_AGG("1,2,SS6,LA,F=KCA,K=DbC,F=A,K=/LA/Ldg,F=CEA021,T=CEA021,K=/LA/AccCde,F=001/2022,T=012/2022,K=/LA/Prd,F=P,T=PINV,K=/LA/JnlTyp,F=&lt;ALL&gt;,K=/LA/Alc,F=&lt;ALL&gt;,T=&lt;ALL&gt;,K=/LA/JnlSrc,F=EAMON MAHER COACH HIRE,T=EAMON MAHER COACH HIRE,K=/LA/CA/Nme,E=1,O=/LA/BseAmt,XLBV"&amp;"al:6=-2275.000",)</f>
        <v>-2275</v>
      </c>
    </row>
    <row r="200" spans="1:3" x14ac:dyDescent="0.25">
      <c r="A200" s="9" t="s">
        <v>475</v>
      </c>
      <c r="B200" s="9" t="s">
        <v>476</v>
      </c>
      <c r="C200" s="16">
        <f>[1]!QAA_AGG("1,2,SS6,LA,F=KCA,K=DbC,F=A,K=/LA/Ldg,F=CIM010,T=CIM010,K=/LA/AccCde,F=001/2022,T=012/2022,K=/LA/Prd,F=P,T=PINV,K=/LA/JnlTyp,F=&lt;ALL&gt;,K=/LA/Alc,F=&lt;ALL&gt;,T=&lt;ALL&gt;,K=/LA/JnlSrc,F=IMC KILKENNY T/A KENSINGTON ADVENTURES LTD,T=IMC KILKENNY T/A KENSINGTON ADVENTURE"&amp;"S LTD,K=/LA/CA/Nme,E=1,O=/LA/BseAmt,XLBVal:6=-2130.000",)</f>
        <v>-2130</v>
      </c>
    </row>
    <row r="201" spans="1:3" x14ac:dyDescent="0.25">
      <c r="A201" s="9" t="s">
        <v>477</v>
      </c>
      <c r="B201" s="9" t="s">
        <v>478</v>
      </c>
      <c r="C201" s="16">
        <f>[1]!QAA_AGG("1,2,SS6,LA,F=KCA,K=DbC,F=A,K=/LA/Ldg,F=CCA023,T=CCA023,K=/LA/AccCde,F=001/2022,T=012/2022,K=/LA/Prd,F=P,T=PINV,K=/LA/JnlTyp,F=&lt;ALL&gt;,K=/LA/Alc,F=&lt;ALL&gt;,T=&lt;ALL&gt;,K=/LA/JnlSrc,F=CARLOW SECURITY SERVICES,T=CARLOW SECURITY SERVICES,K=/LA/CA/Nme,E=1,O=/LA/BseAmt,"&amp;"XLBVal:6=-2103.300",)</f>
        <v>-2103.3000000000002</v>
      </c>
    </row>
    <row r="202" spans="1:3" x14ac:dyDescent="0.25">
      <c r="A202" s="9" t="s">
        <v>479</v>
      </c>
      <c r="B202" s="9" t="s">
        <v>480</v>
      </c>
      <c r="C202" s="16">
        <f>[1]!QAA_AGG("1,2,SS6,LA,F=KCA,K=DbC,F=A,K=/LA/Ldg,F=CMU015,T=CMU015,K=/LA/AccCde,F=001/2022,T=012/2022,K=/LA/Prd,F=P,T=PINV,K=/LA/JnlTyp,F=&lt;ALL&gt;,K=/LA/Alc,F=&lt;ALL&gt;,T=&lt;ALL&gt;,K=/LA/JnlSrc,F=Murphy Removals,T=Murphy Removals,K=/LA/CA/Nme,E=1,O=/LA/BseAmt,XLBVal:6=-2029.500"&amp;"",)</f>
        <v>-2029.5</v>
      </c>
    </row>
    <row r="203" spans="1:3" x14ac:dyDescent="0.25">
      <c r="A203" s="9" t="s">
        <v>488</v>
      </c>
      <c r="B203" s="9" t="s">
        <v>489</v>
      </c>
      <c r="C203" s="16">
        <f>[1]!QAA_AGG("1,2,SS6,LA,F=KCA,K=DbC,F=A,K=/LA/Ldg,F=CBR068,T=CBR068,K=/LA/AccCde,F=001/2022,T=012/2022,K=/LA/Prd,F=P,T=PINV,K=/LA/JnlTyp,F=&lt;ALL&gt;,K=/LA/Alc,F=&lt;ALL&gt;,T=&lt;ALL&gt;,K=/LA/JnlSrc,F=BRETTS GENERAL HARDWARE,T=BRETTS GENERAL HARDWARE,K=/LA/CA/Nme,E=1,O=/LA/BseAmt,XL"&amp;"BVal:6=-2021.040",)</f>
        <v>-2021.04</v>
      </c>
    </row>
    <row r="204" spans="1:3" x14ac:dyDescent="0.25">
      <c r="A204" s="9" t="s">
        <v>525</v>
      </c>
      <c r="B204" s="9" t="s">
        <v>526</v>
      </c>
      <c r="C204" s="16">
        <f>[1]!QAA_AGG("1,2,SS6,LA,F=KCA,K=DbC,F=A,K=/LA/Ldg,F=CMO023,T=CMO023,K=/LA/AccCde,F=001/2022,T=012/2022,K=/LA/Prd,F=P,T=PINV,K=/LA/JnlTyp,F=&lt;ALL&gt;,K=/LA/Alc,F=&lt;ALL&gt;,T=&lt;ALL&gt;,K=/LA/JnlSrc,F=MORRIS BUILDERS PROVIDERS LTD,T=MORRIS BUILDERS PROVIDERS LTD,K=/LA/CA/Nme,E=1,O=/"&amp;"LA/BseAmt,XLBVal:6=-1999.530",)</f>
        <v>-1999.53</v>
      </c>
    </row>
    <row r="205" spans="1:3" x14ac:dyDescent="0.25">
      <c r="A205" s="9" t="s">
        <v>484</v>
      </c>
      <c r="B205" s="9" t="s">
        <v>485</v>
      </c>
      <c r="C205" s="16">
        <f>[1]!QAA_AGG("1,2,SS6,LA,F=KCA,K=DbC,F=A,K=/LA/Ldg,F=CJO151,T=CJO151,K=/LA/AccCde,F=001/2022,T=012/2022,K=/LA/Prd,F=P,T=PINV,K=/LA/JnlTyp,F=&lt;ALL&gt;,K=/LA/Alc,F=&lt;ALL&gt;,T=&lt;ALL&gt;,K=/LA/JnlSrc,F=JOE O'NEILL &amp; SONS TRANSPORT LTD,T=JOE O'NEILL &amp; SONS TRANSPORT LTD,K=/LA/CA/Nme,E"&amp;"=1,O=/LA/BseAmt,XLBVal:6=-1980.000",)</f>
        <v>-1980</v>
      </c>
    </row>
    <row r="206" spans="1:3" x14ac:dyDescent="0.25">
      <c r="A206" s="9" t="s">
        <v>486</v>
      </c>
      <c r="B206" s="9" t="s">
        <v>487</v>
      </c>
      <c r="C206" s="16">
        <f>[1]!QAA_AGG("1,2,SS6,LA,F=KCA,K=DbC,F=A,K=/LA/Ldg,F=CNI007,T=CNI007,K=/LA/AccCde,F=001/2022,T=012/2022,K=/LA/Prd,F=P,T=PINV,K=/LA/JnlTyp,F=&lt;ALL&gt;,K=/LA/Alc,F=&lt;ALL&gt;,T=&lt;ALL&gt;,K=/LA/JnlSrc,F=NISBETS,T=NISBETS,K=/LA/CA/Nme,E=1,O=/LA/BseAmt,XLBVal:6=-1977.810",)</f>
        <v>-1977.81</v>
      </c>
    </row>
    <row r="207" spans="1:3" x14ac:dyDescent="0.25">
      <c r="A207" s="9" t="s">
        <v>100</v>
      </c>
      <c r="B207" s="9" t="s">
        <v>481</v>
      </c>
      <c r="C207" s="16">
        <f>[1]!QAA_AGG("1,2,SS6,LA,F=KCA,K=DbC,F=A,K=/LA/Ldg,F=CPR016,T=CPR016,K=/LA/AccCde,F=001/2022,T=012/2022,K=/LA/Prd,F=P,T=PINV,K=/LA/JnlTyp,F=&lt;ALL&gt;,K=/LA/Alc,F=&lt;ALL&gt;,T=&lt;ALL&gt;,K=/LA/JnlSrc,F=PREMIER SOUND &amp; LIGHTING SOLUTIONS,T=PREMIER SOUND &amp; LIGHTING SOLUTIONS,K=/LA/CA/N"&amp;"me,E=1,O=/LA/BseAmt,XLBVal:6=-1950.000",)</f>
        <v>-1950</v>
      </c>
    </row>
    <row r="208" spans="1:3" x14ac:dyDescent="0.25">
      <c r="A208" s="9" t="s">
        <v>490</v>
      </c>
      <c r="B208" s="9" t="s">
        <v>491</v>
      </c>
      <c r="C208" s="16">
        <f>[1]!QAA_AGG("1,2,SS6,LA,F=KCA,K=DbC,F=A,K=/LA/Ldg,F=CJA004,T=CJA004,K=/LA/AccCde,F=001/2022,T=012/2022,K=/LA/Prd,F=P,T=PINV,K=/LA/JnlTyp,F=&lt;ALL&gt;,K=/LA/Alc,F=&lt;ALL&gt;,T=&lt;ALL&gt;,K=/LA/JnlSrc,F=Jack and Jade Ltd,T=Jack and Jade Ltd,K=/LA/CA/Nme,E=1,O=/LA/BseAmt,XLBVal:6=-1949"&amp;".990",)</f>
        <v>-1949.99</v>
      </c>
    </row>
    <row r="209" spans="1:3" x14ac:dyDescent="0.25">
      <c r="A209" s="9" t="s">
        <v>482</v>
      </c>
      <c r="B209" s="9" t="s">
        <v>483</v>
      </c>
      <c r="C209" s="16">
        <f>[1]!QAA_AGG("1,2,SS6,LA,F=KCA,K=DbC,F=A,K=/LA/Ldg,F=CKI048,T=CKI048,K=/LA/AccCde,F=001/2022,T=012/2022,K=/LA/Prd,F=P,T=PINV,K=/LA/JnlTyp,F=&lt;ALL&gt;,K=/LA/Alc,F=&lt;ALL&gt;,T=&lt;ALL&gt;,K=/LA/JnlSrc,F=KILKENNY CRYSTAL,T=KILKENNY CRYSTAL,K=/LA/CA/Nme,E=1,O=/LA/BseAmt,XLBVal:6=-1943.5"&amp;"20",)</f>
        <v>-1943.52</v>
      </c>
    </row>
    <row r="210" spans="1:3" x14ac:dyDescent="0.25">
      <c r="A210" s="9" t="s">
        <v>494</v>
      </c>
      <c r="B210" s="9" t="s">
        <v>495</v>
      </c>
      <c r="C210" s="16">
        <f>[1]!QAA_AGG("1,2,SS6,LA,F=KCA,K=DbC,F=A,K=/LA/Ldg,F=CSE000,T=CSE000,K=/LA/AccCde,F=001/2022,T=012/2022,K=/LA/Prd,F=P,T=PINV,K=/LA/JnlTyp,F=&lt;ALL&gt;,K=/LA/Alc,F=&lt;ALL&gt;,T=&lt;ALL&gt;,K=/LA/JnlSrc,F=SEVEN OAKS HOTEL,T=SEVEN OAKS HOTEL,K=/LA/CA/Nme,E=1,O=/LA/BseAmt,XLBVal:6=-1943.4"&amp;"00",)</f>
        <v>-1943.4</v>
      </c>
    </row>
    <row r="211" spans="1:3" x14ac:dyDescent="0.25">
      <c r="A211" s="9" t="s">
        <v>496</v>
      </c>
      <c r="B211" s="9" t="s">
        <v>497</v>
      </c>
      <c r="C211" s="16">
        <f>[1]!QAA_AGG("1,2,SS6,LA,F=KCA,K=DbC,F=A,K=/LA/Ldg,F=CSO023,T=CSO023,K=/LA/AccCde,F=001/2022,T=012/2022,K=/LA/Prd,F=P,T=PINV,K=/LA/JnlTyp,F=&lt;ALL&gt;,K=/LA/Alc,F=&lt;ALL&gt;,T=&lt;ALL&gt;,K=/LA/JnlSrc,F=SORD DATA SYSTEMS LTD,T=SORD DATA SYSTEMS LTD,K=/LA/CA/Nme,E=1,O=/LA/BseAmt,XLBVal"&amp;":6=-1937.250",)</f>
        <v>-1937.25</v>
      </c>
    </row>
    <row r="212" spans="1:3" x14ac:dyDescent="0.25">
      <c r="A212" s="9" t="s">
        <v>29</v>
      </c>
      <c r="B212" s="9" t="s">
        <v>498</v>
      </c>
      <c r="C212" s="16">
        <f>[1]!QAA_AGG("1,2,SS6,LA,F=KCA,K=DbC,F=A,K=/LA/Ldg,F=CMU002,T=CMU002,K=/LA/AccCde,F=001/2022,T=012/2022,K=/LA/Prd,F=P,T=PINV,K=/LA/JnlTyp,F=&lt;ALL&gt;,K=/LA/Alc,F=&lt;ALL&gt;,T=&lt;ALL&gt;,K=/LA/JnlSrc,F=MURPHY CONTRACT CLEANERS,T=MURPHY CONTRACT CLEANERS,K=/LA/CA/Nme,E=1,O=/LA/BseAmt,"&amp;"XLBVal:6=-1929.500",)</f>
        <v>-1929.5</v>
      </c>
    </row>
    <row r="213" spans="1:3" x14ac:dyDescent="0.25">
      <c r="A213" s="9" t="s">
        <v>117</v>
      </c>
      <c r="B213" s="9" t="s">
        <v>997</v>
      </c>
      <c r="C213" s="16">
        <f>[1]!QAA_AGG("1,2,SS6,LA,F=KCA,K=DbC,F=A,K=/LA/Ldg,F=CTA034,T=CTA034,K=/LA/AccCde,F=001/2022,T=012/2022,K=/LA/Prd,F=P,T=PINV,K=/LA/JnlTyp,F=&lt;ALL&gt;,K=/LA/Alc,F=&lt;ALL&gt;,T=&lt;ALL&gt;,K=/LA/JnlSrc,F=TARA 365 LEARNING LTD.,T=TARA 365 LEARNING LTD.,K=/LA/CA/Nme,E=1,O=/LA/BseAmt,XLBV"&amp;"al:6=-1920.000",)</f>
        <v>-1920</v>
      </c>
    </row>
    <row r="214" spans="1:3" x14ac:dyDescent="0.25">
      <c r="A214" s="9" t="s">
        <v>1511</v>
      </c>
      <c r="B214" s="9" t="s">
        <v>1512</v>
      </c>
      <c r="C214" s="16">
        <f>[1]!QAA_AGG("1,2,SS6,LA,F=KCA,K=DbC,F=A,K=/LA/Ldg,F=CSA088,T=CSA088,K=/LA/AccCde,F=001/2022,T=012/2022,K=/LA/Prd,F=P,T=PINV,K=/LA/JnlTyp,F=&lt;ALL&gt;,K=/LA/Alc,F=&lt;ALL&gt;,T=&lt;ALL&gt;,K=/LA/JnlSrc,F=SAI GLOBAL (TRADING NAME OF ILI LIMITED),T=SAI GLOBAL (TRADING NAME OF ILI LIMITED"&amp;"),K=/LA/CA/Nme,E=1,O=/LA/BseAmt,XLBVal:6=-1920.000",)</f>
        <v>-1920</v>
      </c>
    </row>
    <row r="215" spans="1:3" x14ac:dyDescent="0.25">
      <c r="A215" s="9" t="s">
        <v>501</v>
      </c>
      <c r="B215" s="9" t="s">
        <v>502</v>
      </c>
      <c r="C215" s="16">
        <f>[1]!QAA_AGG("1,2,SS6,LA,F=KCA,K=DbC,F=A,K=/LA/Ldg,F=CKA107,T=CKA107,K=/LA/AccCde,F=001/2022,T=012/2022,K=/LA/Prd,F=P,T=PINV,K=/LA/JnlTyp,F=&lt;ALL&gt;,K=/LA/Alc,F=&lt;ALL&gt;,T=&lt;ALL&gt;,K=/LA/JnlSrc,F=KAIDEEN &amp; CO LTD,T=KAIDEEN &amp; CO LTD,K=/LA/CA/Nme,E=1,O=/LA/BseAmt,XLBVal:6=-1913.9"&amp;"20",)</f>
        <v>-1913.92</v>
      </c>
    </row>
    <row r="216" spans="1:3" x14ac:dyDescent="0.25">
      <c r="A216" s="9" t="s">
        <v>503</v>
      </c>
      <c r="B216" s="9" t="s">
        <v>504</v>
      </c>
      <c r="C216" s="16">
        <f>[1]!QAA_AGG("1,2,SS6,LA,F=KCA,K=DbC,F=A,K=/LA/Ldg,F=COL023,T=COL023,K=/LA/AccCde,F=001/2022,T=012/2022,K=/LA/Prd,F=P,T=PINV,K=/LA/JnlTyp,F=&lt;ALL&gt;,K=/LA/Alc,F=&lt;ALL&gt;,T=&lt;ALL&gt;,K=/LA/JnlSrc,F=OLDTOWN ELECTRICAL,T=OLDTOWN ELECTRICAL,K=/LA/CA/Nme,E=1,O=/LA/BseAmt,XLBVal:6=-18"&amp;"99.290",)</f>
        <v>-1899.29</v>
      </c>
    </row>
    <row r="217" spans="1:3" x14ac:dyDescent="0.25">
      <c r="A217" s="9" t="s">
        <v>505</v>
      </c>
      <c r="B217" s="9" t="s">
        <v>506</v>
      </c>
      <c r="C217" s="16">
        <f>[1]!QAA_AGG("1,2,SS6,LA,F=KCA,K=DbC,F=A,K=/LA/Ldg,F=CAB014,T=CAB014,K=/LA/AccCde,F=001/2022,T=012/2022,K=/LA/Prd,F=P,T=PINV,K=/LA/JnlTyp,F=&lt;ALL&gt;,K=/LA/Alc,F=&lt;ALL&gt;,T=&lt;ALL&gt;,K=/LA/JnlSrc,F=ABACUS COMMUNICATIONS,T=ABACUS COMMUNICATIONS,K=/LA/CA/Nme,E=1,O=/LA/BseAmt,XLBVal"&amp;":6=-1876.660",)</f>
        <v>-1876.66</v>
      </c>
    </row>
    <row r="218" spans="1:3" x14ac:dyDescent="0.25">
      <c r="A218" s="9" t="s">
        <v>507</v>
      </c>
      <c r="B218" s="9" t="s">
        <v>508</v>
      </c>
      <c r="C218" s="16">
        <f>[1]!QAA_AGG("1,2,SS6,LA,F=KCA,K=DbC,F=A,K=/LA/Ldg,F=COG000,T=COG000,K=/LA/AccCde,F=001/2022,T=012/2022,K=/LA/Prd,F=P,T=PINV,K=/LA/JnlTyp,F=&lt;ALL&gt;,K=/LA/Alc,F=&lt;ALL&gt;,T=&lt;ALL&gt;,K=/LA/JnlSrc,F=O'GORMAN CONTRACT CLEANERS,T=O'GORMAN CONTRACT CLEANERS,K=/LA/CA/Nme,E=1,O=/LA/Bse"&amp;"Amt,XLBVal:6=-1872.750",)</f>
        <v>-1872.75</v>
      </c>
    </row>
    <row r="219" spans="1:3" x14ac:dyDescent="0.25">
      <c r="A219" s="9" t="s">
        <v>509</v>
      </c>
      <c r="B219" s="9" t="s">
        <v>510</v>
      </c>
      <c r="C219" s="16">
        <f>[1]!QAA_AGG("1,2,SS6,LA,F=KCA,K=DbC,F=A,K=/LA/Ldg,F=CHE035,T=CHE035,K=/LA/AccCde,F=001/2022,T=012/2022,K=/LA/Prd,F=P,T=PINV,K=/LA/JnlTyp,F=&lt;ALL&gt;,K=/LA/Alc,F=&lt;ALL&gt;,T=&lt;ALL&gt;,K=/LA/JnlSrc,F=HEDGEHOG PRODUCTION LTD,T=HEDGEHOG PRODUCTION LTD,K=/LA/CA/Nme,E=1,O=/LA/BseAmt,XL"&amp;"BVal:6=-1816.000",)</f>
        <v>-1816</v>
      </c>
    </row>
    <row r="220" spans="1:3" x14ac:dyDescent="0.25">
      <c r="A220" s="9" t="s">
        <v>511</v>
      </c>
      <c r="B220" s="9" t="s">
        <v>512</v>
      </c>
      <c r="C220" s="16">
        <f>[1]!QAA_AGG("1,2,SS6,LA,F=KCA,K=DbC,F=A,K=/LA/Ldg,F=CKI042,T=CKI042,K=/LA/AccCde,F=001/2022,T=012/2022,K=/LA/Prd,F=P,T=PINV,K=/LA/JnlTyp,F=&lt;ALL&gt;,K=/LA/Alc,F=&lt;ALL&gt;,T=&lt;ALL&gt;,K=/LA/JnlSrc,F=KILKENNY &amp; CARLOW E.T.B.,T=KILKENNY &amp; CARLOW E.T.B.,K=/LA/CA/Nme,E=1,O=/LA/BseAmt,"&amp;"XLBVal:6=-1772.800",)</f>
        <v>-1772.8</v>
      </c>
    </row>
    <row r="221" spans="1:3" x14ac:dyDescent="0.25">
      <c r="A221" s="9" t="s">
        <v>513</v>
      </c>
      <c r="B221" s="9" t="s">
        <v>514</v>
      </c>
      <c r="C221" s="16">
        <f>[1]!QAA_AGG("1,2,SS6,LA,F=KCA,K=DbC,F=A,K=/LA/Ldg,F=CEN002,T=CEN002,K=/LA/AccCde,F=001/2022,T=012/2022,K=/LA/Prd,F=P,T=PINV,K=/LA/JnlTyp,F=&lt;ALL&gt;,K=/LA/Alc,F=&lt;ALL&gt;,T=&lt;ALL&gt;,K=/LA/JnlSrc,F=Enviroclad Installations,T=Enviroclad Installations,K=/LA/CA/Nme,E=1,O=/LA/BseAmt,"&amp;"XLBVal:6=-1756.300",)</f>
        <v>-1756.3</v>
      </c>
    </row>
    <row r="222" spans="1:3" x14ac:dyDescent="0.25">
      <c r="A222" s="9" t="s">
        <v>515</v>
      </c>
      <c r="B222" s="9" t="s">
        <v>516</v>
      </c>
      <c r="C222" s="16">
        <f>[1]!QAA_AGG("1,2,SS6,LA,F=KCA,K=DbC,F=A,K=/LA/Ldg,F=CDE108,T=CDE108,K=/LA/AccCde,F=001/2022,T=012/2022,K=/LA/Prd,F=P,T=PINV,K=/LA/JnlTyp,F=&lt;ALL&gt;,K=/LA/Alc,F=&lt;ALL&gt;,T=&lt;ALL&gt;,K=/LA/JnlSrc,F=DEPARTMENT OF CHILDREN AND YOUTH AFFAIRS,T=DEPARTMENT OF CHILDREN AND YOUTH AFFAIR"&amp;"S,K=/LA/CA/Nme,E=1,O=/LA/BseAmt,XLBVal:6=-1740.710",)</f>
        <v>-1740.71</v>
      </c>
    </row>
    <row r="223" spans="1:3" x14ac:dyDescent="0.25">
      <c r="A223" s="9" t="s">
        <v>499</v>
      </c>
      <c r="B223" s="9" t="s">
        <v>500</v>
      </c>
      <c r="C223" s="16">
        <f>[1]!QAA_AGG("1,2,SS6,LA,F=KCA,K=DbC,F=A,K=/LA/Ldg,F=CME010,T=CME010,K=/LA/AccCde,F=001/2022,T=012/2022,K=/LA/Prd,F=P,T=PINV,K=/LA/JnlTyp,F=&lt;ALL&gt;,K=/LA/Alc,F=&lt;ALL&gt;,T=&lt;ALL&gt;,K=/LA/JnlSrc,F=MEDMARK OCCUPATIONAL HEALTH CARE,T=MEDMARK OCCUPATIONAL HEALTH CARE,K=/LA/CA/Nme,E"&amp;"=1,O=/LA/BseAmt,XLBVal:6=-1730.250",)</f>
        <v>-1730.25</v>
      </c>
    </row>
    <row r="224" spans="1:3" x14ac:dyDescent="0.25">
      <c r="A224" s="9" t="s">
        <v>519</v>
      </c>
      <c r="B224" s="9" t="s">
        <v>520</v>
      </c>
      <c r="C224" s="16">
        <f>[1]!QAA_AGG("1,2,SS6,LA,F=KCA,K=DbC,F=A,K=/LA/Ldg,F=CBO004,T=CBO004,K=/LA/AccCde,F=001/2022,T=012/2022,K=/LA/Prd,F=P,T=PINV,K=/LA/JnlTyp,F=&lt;ALL&gt;,K=/LA/Alc,F=&lt;ALL&gt;,T=&lt;ALL&gt;,K=/LA/JnlSrc,F=Bord Gais Energy Theatre,T=Bord Gais Energy Theatre,K=/LA/CA/Nme,E=1,O=/LA/BseAmt,"&amp;"XLBVal:6=-1728.000",)</f>
        <v>-1728</v>
      </c>
    </row>
    <row r="225" spans="1:3" x14ac:dyDescent="0.25">
      <c r="A225" s="9" t="s">
        <v>521</v>
      </c>
      <c r="B225" s="9" t="s">
        <v>522</v>
      </c>
      <c r="C225" s="16">
        <f>[1]!QAA_AGG("1,2,SS6,LA,F=KCA,K=DbC,F=A,K=/LA/Ldg,F=CUR000,T=CUR000,K=/LA/AccCde,F=001/2022,T=012/2022,K=/LA/Prd,F=P,T=PINV,K=/LA/JnlTyp,F=&lt;ALL&gt;,K=/LA/Alc,F=&lt;ALL&gt;,T=&lt;ALL&gt;,K=/LA/JnlSrc,F=URSULA EGAN,T=URSULA EGAN,K=/LA/CA/Nme,E=1,O=/LA/BseAmt,XLBVal:6=-1728.000",)</f>
        <v>-1728</v>
      </c>
    </row>
    <row r="226" spans="1:3" x14ac:dyDescent="0.25">
      <c r="A226" s="9" t="s">
        <v>523</v>
      </c>
      <c r="B226" s="9" t="s">
        <v>524</v>
      </c>
      <c r="C226" s="16">
        <f>[1]!QAA_AGG("1,2,SS6,LA,F=KCA,K=DbC,F=A,K=/LA/Ldg,F=CTR051,T=CTR051,K=/LA/AccCde,F=001/2022,T=012/2022,K=/LA/Prd,F=P,T=PINV,K=/LA/JnlTyp,F=&lt;ALL&gt;,K=/LA/Alc,F=&lt;ALL&gt;,T=&lt;ALL&gt;,K=/LA/JnlSrc,F=TREACY'S HOMEVALUE LTD,T=TREACY'S HOMEVALUE LTD,K=/LA/CA/Nme,E=1,O=/LA/BseAmt,XLBV"&amp;"al:6=-1720.970",)</f>
        <v>-1720.97</v>
      </c>
    </row>
    <row r="227" spans="1:3" x14ac:dyDescent="0.25">
      <c r="A227" s="9" t="s">
        <v>88</v>
      </c>
      <c r="B227" s="9" t="s">
        <v>527</v>
      </c>
      <c r="C227" s="16">
        <f>[1]!QAA_AGG("1,2,SS6,LA,F=KCA,K=DbC,F=A,K=/LA/Ldg,F=CFL001,T=CFL001,K=/LA/AccCde,F=001/2022,T=012/2022,K=/LA/Prd,F=P,T=PINV,K=/LA/JnlTyp,F=&lt;ALL&gt;,K=/LA/Alc,F=&lt;ALL&gt;,T=&lt;ALL&gt;,K=/LA/JnlSrc,F=Flagpoles Ireland,T=Flagpoles Ireland,K=/LA/CA/Nme,E=1,O=/LA/BseAmt,XLBVal:6=-1702"&amp;".500",)</f>
        <v>-1702.5</v>
      </c>
    </row>
    <row r="228" spans="1:3" x14ac:dyDescent="0.25">
      <c r="A228" s="9" t="s">
        <v>60</v>
      </c>
      <c r="B228" s="9" t="s">
        <v>528</v>
      </c>
      <c r="C228" s="16">
        <f>[1]!QAA_AGG("1,2,SS6,LA,F=KCA,K=DbC,F=A,K=/LA/Ldg,F=CAN178,T=CAN178,K=/LA/AccCde,F=001/2022,T=012/2022,K=/LA/Prd,F=P,T=PINV,K=/LA/JnlTyp,F=&lt;ALL&gt;,K=/LA/Alc,F=&lt;ALL&gt;,T=&lt;ALL&gt;,K=/LA/JnlSrc,F=ANTIM ENTERPRISES LTD,T=ANTIM ENTERPRISES LTD,K=/LA/CA/Nme,E=1,O=/LA/BseAmt,XLBVal"&amp;":6=-1660.000",)</f>
        <v>-1660</v>
      </c>
    </row>
    <row r="229" spans="1:3" x14ac:dyDescent="0.25">
      <c r="A229" s="9" t="s">
        <v>529</v>
      </c>
      <c r="B229" s="9" t="s">
        <v>530</v>
      </c>
      <c r="C229" s="16">
        <f>[1]!QAA_AGG("1,2,SS6,LA,F=KCA,K=DbC,F=A,K=/LA/Ldg,F=CMU050,T=CMU050,K=/LA/AccCde,F=001/2022,T=012/2022,K=/LA/Prd,F=P,T=PINV,K=/LA/JnlTyp,F=&lt;ALL&gt;,K=/LA/Alc,F=&lt;ALL&gt;,T=&lt;ALL&gt;,K=/LA/JnlSrc,F=MURRAYS RECYCLED PLASTICS LTD,T=MURRAYS RECYCLED PLASTICS LTD,K=/LA/CA/Nme,E=1,O=/"&amp;"LA/BseAmt,XLBVal:6=-1650.680",)</f>
        <v>-1650.68</v>
      </c>
    </row>
    <row r="230" spans="1:3" x14ac:dyDescent="0.25">
      <c r="A230" s="9" t="s">
        <v>533</v>
      </c>
      <c r="B230" s="9" t="s">
        <v>534</v>
      </c>
      <c r="C230" s="16">
        <f>[1]!QAA_AGG("1,2,SS6,LA,F=KCA,K=DbC,F=A,K=/LA/Ldg,F=CGL023,T=CGL023,K=/LA/AccCde,F=001/2022,T=012/2022,K=/LA/Prd,F=P,T=PINV,K=/LA/JnlTyp,F=&lt;ALL&gt;,K=/LA/Alc,F=&lt;ALL&gt;,T=&lt;ALL&gt;,K=/LA/JnlSrc,F=GLENPATRICK WATER COOLERS,T=GLENPATRICK WATER COOLERS,K=/LA/CA/Nme,E=1,O=/LA/BseAm"&amp;"t,XLBVal:6=-1632.720",)</f>
        <v>-1632.72</v>
      </c>
    </row>
    <row r="231" spans="1:3" x14ac:dyDescent="0.25">
      <c r="A231" s="9" t="s">
        <v>535</v>
      </c>
      <c r="B231" s="9" t="s">
        <v>536</v>
      </c>
      <c r="C231" s="16">
        <f>[1]!QAA_AGG("1,2,SS6,LA,F=KCA,K=DbC,F=A,K=/LA/Ldg,F=CRP000,T=CRP000,K=/LA/AccCde,F=001/2022,T=012/2022,K=/LA/Prd,F=P,T=PINV,K=/LA/JnlTyp,F=&lt;ALL&gt;,K=/LA/Alc,F=&lt;ALL&gt;,T=&lt;ALL&gt;,K=/LA/JnlSrc,F=RPM SUPPLIES LTD,T=RPM SUPPLIES LTD,K=/LA/CA/Nme,E=1,O=/LA/BseAmt,XLBVal:6=-1626.8"&amp;"80",)</f>
        <v>-1626.88</v>
      </c>
    </row>
    <row r="232" spans="1:3" x14ac:dyDescent="0.25">
      <c r="A232" s="9" t="s">
        <v>539</v>
      </c>
      <c r="B232" s="9" t="s">
        <v>540</v>
      </c>
      <c r="C232" s="16">
        <f>[1]!QAA_AGG("1,2,SS6,LA,F=KCA,K=DbC,F=A,K=/LA/Ldg,F=CFI001,T=CFI001,K=/LA/AccCde,F=001/2022,T=012/2022,K=/LA/Prd,F=P,T=PINV,K=/LA/JnlTyp,F=&lt;ALL&gt;,K=/LA/Alc,F=&lt;ALL&gt;,T=&lt;ALL&gt;,K=/LA/JnlSrc,F=Film Equipment Hire Ltd,T=Film Equipment Hire Ltd,K=/LA/CA/Nme,E=1,O=/LA/BseAmt,XL"&amp;"BVal:6=-1601.460",)</f>
        <v>-1601.46</v>
      </c>
    </row>
    <row r="233" spans="1:3" x14ac:dyDescent="0.25">
      <c r="A233" s="9" t="s">
        <v>543</v>
      </c>
      <c r="B233" s="9" t="s">
        <v>544</v>
      </c>
      <c r="C233" s="16">
        <f>[1]!QAA_AGG("1,2,SS6,LA,F=KCA,K=DbC,F=A,K=/LA/Ldg,F=CFL009,T=CFL009,K=/LA/AccCde,F=001/2022,T=012/2022,K=/LA/Prd,F=P,T=PINV,K=/LA/JnlTyp,F=&lt;ALL&gt;,K=/LA/Alc,F=&lt;ALL&gt;,T=&lt;ALL&gt;,K=/LA/JnlSrc,F=FLEMING MEDICAL LTD,T=FLEMING MEDICAL LTD,K=/LA/CA/Nme,E=1,O=/LA/BseAmt,XLBVal:6=-"&amp;"1583.350",)</f>
        <v>-1583.35</v>
      </c>
    </row>
    <row r="234" spans="1:3" x14ac:dyDescent="0.25">
      <c r="A234" s="9" t="s">
        <v>517</v>
      </c>
      <c r="B234" s="9" t="s">
        <v>518</v>
      </c>
      <c r="C234" s="16">
        <f>[1]!QAA_AGG("1,2,SS6,LA,F=KCA,K=DbC,F=A,K=/LA/Ldg,F=CBI007,T=CBI007,K=/LA/AccCde,F=001/2022,T=012/2022,K=/LA/Prd,F=P,T=PINV,K=/LA/JnlTyp,F=&lt;ALL&gt;,K=/LA/Alc,F=&lt;ALL&gt;,T=&lt;ALL&gt;,K=/LA/JnlSrc,F=BITS SOUTH EAST LTD,T=BITS SOUTH EAST LTD,K=/LA/CA/Nme,E=1,O=/LA/BseAmt,XLBVal:6=-"&amp;"1578.520",)</f>
        <v>-1578.52</v>
      </c>
    </row>
    <row r="235" spans="1:3" x14ac:dyDescent="0.25">
      <c r="A235" s="9" t="s">
        <v>547</v>
      </c>
      <c r="B235" s="9" t="s">
        <v>548</v>
      </c>
      <c r="C235" s="16">
        <f>[1]!QAA_AGG("1,2,SS6,LA,F=KCA,K=DbC,F=A,K=/LA/Ldg,F=CSC025,T=CSC025,K=/LA/AccCde,F=001/2022,T=012/2022,K=/LA/Prd,F=P,T=PINV,K=/LA/JnlTyp,F=&lt;ALL&gt;,K=/LA/Alc,F=&lt;ALL&gt;,T=&lt;ALL&gt;,K=/LA/JnlSrc,F=SCULLY FIRST AID,T=SCULLY FIRST AID,K=/LA/CA/Nme,E=1,O=/LA/BseAmt,XLBVal:6=-1567.0"&amp;"80",)</f>
        <v>-1567.08</v>
      </c>
    </row>
    <row r="236" spans="1:3" x14ac:dyDescent="0.25">
      <c r="A236" s="9" t="s">
        <v>549</v>
      </c>
      <c r="B236" s="9" t="s">
        <v>550</v>
      </c>
      <c r="C236" s="16">
        <f>[1]!QAA_AGG("1,2,SS6,LA,F=KCA,K=DbC,F=A,K=/LA/Ldg,F=CRA032,T=CRA032,K=/LA/AccCde,F=001/2022,T=012/2022,K=/LA/Prd,F=P,T=PINV,K=/LA/JnlTyp,F=&lt;ALL&gt;,K=/LA/Alc,F=&lt;ALL&gt;,T=&lt;ALL&gt;,K=/LA/JnlSrc,F=RADIUS TECHNOLOGIES,T=RADIUS TECHNOLOGIES,K=/LA/CA/Nme,E=1,O=/LA/BseAmt,XLBVal:6=-"&amp;"1563.250",)</f>
        <v>-1563.25</v>
      </c>
    </row>
    <row r="237" spans="1:3" x14ac:dyDescent="0.25">
      <c r="A237" s="9" t="s">
        <v>531</v>
      </c>
      <c r="B237" s="9" t="s">
        <v>532</v>
      </c>
      <c r="C237" s="16">
        <f>[1]!QAA_AGG("1,2,SS6,LA,F=KCA,K=DbC,F=A,K=/LA/Ldg,F=CAL016,T=CAL016,K=/LA/AccCde,F=001/2022,T=012/2022,K=/LA/Prd,F=P,T=PINV,K=/LA/JnlTyp,F=&lt;ALL&gt;,K=/LA/Alc,F=&lt;ALL&gt;,T=&lt;ALL&gt;,K=/LA/JnlSrc,F=DOCUMENT ARCHIVE SOLUTIONS (ALLDOCS),T=DOCUMENT ARCHIVE SOLUTIONS (ALLDOCS),K=/LA/"&amp;"CA/Nme,E=1,O=/LA/BseAmt,XLBVal:6=-1554.770",)</f>
        <v>-1554.77</v>
      </c>
    </row>
    <row r="238" spans="1:3" x14ac:dyDescent="0.25">
      <c r="A238" s="9" t="s">
        <v>551</v>
      </c>
      <c r="B238" s="9" t="s">
        <v>552</v>
      </c>
      <c r="C238" s="16">
        <f>[1]!QAA_AGG("1,2,SS6,LA,F=KCA,K=DbC,F=A,K=/LA/Ldg,F=CCA178,T=CCA178,K=/LA/AccCde,F=001/2022,T=012/2022,K=/LA/Prd,F=P,T=PINV,K=/LA/JnlTyp,F=&lt;ALL&gt;,K=/LA/Alc,F=&lt;ALL&gt;,T=&lt;ALL&gt;,K=/LA/JnlSrc,F=CARLOW COMMUNITY ENTERPRISE CENTRES LTD.,T=CARLOW COMMUNITY ENTERPRISE CENTRES LTD"&amp;".,K=/LA/CA/Nme,E=1,O=/LA/BseAmt,XLBVal:6=-1553.980",)</f>
        <v>-1553.98</v>
      </c>
    </row>
    <row r="239" spans="1:3" x14ac:dyDescent="0.25">
      <c r="A239" s="9" t="s">
        <v>553</v>
      </c>
      <c r="B239" s="9" t="s">
        <v>554</v>
      </c>
      <c r="C239" s="16">
        <f>[1]!QAA_AGG("1,2,SS6,LA,F=KCA,K=DbC,F=A,K=/LA/Ldg,F=CJE014,T=CJE014,K=/LA/AccCde,F=001/2022,T=012/2022,K=/LA/Prd,F=P,T=PINV,K=/LA/JnlTyp,F=&lt;ALL&gt;,K=/LA/Alc,F=&lt;ALL&gt;,T=&lt;ALL&gt;,K=/LA/JnlSrc,F=Jessica Kenny,T=Jessica Kenny,K=/LA/CA/Nme,E=1,O=/LA/BseAmt,XLBVal:6=-1543.110",)</f>
        <v>-1543.11</v>
      </c>
    </row>
    <row r="240" spans="1:3" x14ac:dyDescent="0.25">
      <c r="A240" s="9" t="s">
        <v>555</v>
      </c>
      <c r="B240" s="9" t="s">
        <v>556</v>
      </c>
      <c r="C240" s="16">
        <f>[1]!QAA_AGG("1,2,SS6,LA,F=KCA,K=DbC,F=A,K=/LA/Ldg,F=CAD023,T=CAD023,K=/LA/AccCde,F=001/2022,T=012/2022,K=/LA/Prd,F=P,T=PINV,K=/LA/JnlTyp,F=&lt;ALL&gt;,K=/LA/Alc,F=&lt;ALL&gt;,T=&lt;ALL&gt;,K=/LA/JnlSrc,F=ADT FIRE &amp; SECURITY LTD,T=ADT FIRE &amp; SECURITY LTD,K=/LA/CA/Nme,E=1,O=/LA/BseAmt,XL"&amp;"BVal:6=-1542.820",)</f>
        <v>-1542.82</v>
      </c>
    </row>
    <row r="241" spans="1:3" x14ac:dyDescent="0.25">
      <c r="A241" s="9" t="s">
        <v>559</v>
      </c>
      <c r="B241" s="9" t="s">
        <v>560</v>
      </c>
      <c r="C241" s="16">
        <f>[1]!QAA_AGG("1,2,SS6,LA,F=KCA,K=DbC,F=A,K=/LA/Ldg,F=CCA121,T=CCA121,K=/LA/AccCde,F=001/2022,T=012/2022,K=/LA/Prd,F=P,T=PINV,K=/LA/JnlTyp,F=&lt;ALL&gt;,K=/LA/Alc,F=&lt;ALL&gt;,T=&lt;ALL&gt;,K=/LA/JnlSrc,F=CASTLECOMER DISCOVERY PARK,T=CASTLECOMER DISCOVERY PARK,K=/LA/CA/Nme,E=1,O=/LA/Bse"&amp;"Amt,XLBVal:6=-1539.000",)</f>
        <v>-1539</v>
      </c>
    </row>
    <row r="242" spans="1:3" x14ac:dyDescent="0.25">
      <c r="A242" s="9" t="s">
        <v>22</v>
      </c>
      <c r="B242" s="9" t="s">
        <v>561</v>
      </c>
      <c r="C242" s="16">
        <f>[1]!QAA_AGG("1,2,SS6,LA,F=KCA,K=DbC,F=A,K=/LA/Ldg,F=CON001,T=CON001,K=/LA/AccCde,F=001/2022,T=012/2022,K=/LA/Prd,F=P,T=PINV,K=/LA/JnlTyp,F=&lt;ALL&gt;,K=/LA/Alc,F=&lt;ALL&gt;,T=&lt;ALL&gt;,K=/LA/JnlSrc,F=O'NEILLS IRISH INTER. SPORTS COMP. LTD,T=O'NEILLS IRISH INTER. SPORTS COMP. LTD,K="&amp;"/LA/CA/Nme,E=1,O=/LA/BseAmt,XLBVal:6=-1537.650",)</f>
        <v>-1537.65</v>
      </c>
    </row>
    <row r="243" spans="1:3" x14ac:dyDescent="0.25">
      <c r="A243" s="9" t="s">
        <v>537</v>
      </c>
      <c r="B243" s="9" t="s">
        <v>538</v>
      </c>
      <c r="C243" s="16">
        <f>[1]!QAA_AGG("1,2,SS6,LA,F=KCA,K=DbC,F=A,K=/LA/Ldg,F=CPA233,T=CPA233,K=/LA/AccCde,F=001/2022,T=012/2022,K=/LA/Prd,F=P,T=PINV,K=/LA/JnlTyp,F=&lt;ALL&gt;,K=/LA/Alc,F=&lt;ALL&gt;,T=&lt;ALL&gt;,K=/LA/JnlSrc,F=SYSCO FOODS,T=SYSCO FOODS,K=/LA/CA/Nme,E=1,O=/LA/BseAmt,XLBVal:6=-1537.500",)</f>
        <v>-1537.5</v>
      </c>
    </row>
    <row r="244" spans="1:3" x14ac:dyDescent="0.25">
      <c r="A244" s="9" t="s">
        <v>562</v>
      </c>
      <c r="B244" s="9" t="s">
        <v>563</v>
      </c>
      <c r="C244" s="16">
        <f>[1]!QAA_AGG("1,2,SS6,LA,F=KCA,K=DbC,F=A,K=/LA/Ldg,F=CKI129,T=CKI129,K=/LA/AccCde,F=001/2022,T=012/2022,K=/LA/Prd,F=P,T=PINV,K=/LA/JnlTyp,F=&lt;ALL&gt;,K=/LA/Alc,F=&lt;ALL&gt;,T=&lt;ALL&gt;,K=/LA/JnlSrc,F=KIERAN WHITE,T=KIERAN WHITE,K=/LA/CA/Nme,E=1,O=/LA/BseAmt,XLBVal:6=-1530.000",)</f>
        <v>-1530</v>
      </c>
    </row>
    <row r="245" spans="1:3" x14ac:dyDescent="0.25">
      <c r="A245" s="9" t="s">
        <v>564</v>
      </c>
      <c r="B245" s="9" t="s">
        <v>565</v>
      </c>
      <c r="C245" s="16">
        <f>[1]!QAA_AGG("1,2,SS6,LA,F=KCA,K=DbC,F=A,K=/LA/Ldg,F=CCA317,T=CCA317,K=/LA/AccCde,F=001/2022,T=012/2022,K=/LA/Prd,F=P,T=PINV,K=/LA/JnlTyp,F=&lt;ALL&gt;,K=/LA/Alc,F=&lt;ALL&gt;,T=&lt;ALL&gt;,K=/LA/JnlSrc,F=CARLOW SELF STORAGE,T=CARLOW SELF STORAGE,K=/LA/CA/Nme,E=1,O=/LA/BseAmt,XLBVal:6=-"&amp;"1530.000",)</f>
        <v>-1530</v>
      </c>
    </row>
    <row r="246" spans="1:3" x14ac:dyDescent="0.25">
      <c r="A246" s="9" t="s">
        <v>566</v>
      </c>
      <c r="B246" s="9" t="s">
        <v>567</v>
      </c>
      <c r="C246" s="16">
        <f>[1]!QAA_AGG("1,2,SS6,LA,F=KCA,K=DbC,F=A,K=/LA/Ldg,F=CTR032,T=CTR032,K=/LA/AccCde,F=001/2022,T=012/2022,K=/LA/Prd,F=P,T=PINV,K=/LA/JnlTyp,F=&lt;ALL&gt;,K=/LA/Alc,F=&lt;ALL&gt;,T=&lt;ALL&gt;,K=/LA/JnlSrc,F=TREFLOR-MIGIRA LTD,T=TREFLOR-MIGIRA LTD,K=/LA/CA/Nme,E=1,O=/LA/BseAmt,XLBVal:6=-15"&amp;"30.000",)</f>
        <v>-1530</v>
      </c>
    </row>
    <row r="247" spans="1:3" x14ac:dyDescent="0.25">
      <c r="A247" s="9" t="s">
        <v>568</v>
      </c>
      <c r="B247" s="9" t="s">
        <v>569</v>
      </c>
      <c r="C247" s="16">
        <f>[1]!QAA_AGG("1,2,SS6,LA,F=KCA,K=DbC,F=A,K=/LA/Ldg,F=CNE039,T=CNE039,K=/LA/AccCde,F=001/2022,T=012/2022,K=/LA/Prd,F=P,T=PINV,K=/LA/JnlTyp,F=&lt;ALL&gt;,K=/LA/Alc,F=&lt;ALL&gt;,T=&lt;ALL&gt;,K=/LA/JnlSrc,F=NEWSPREAD LTD T/A REACH DELPAC,T=NEWSPREAD LTD T/A REACH DELPAC,K=/LA/CA/Nme,E=1,O"&amp;"=/LA/BseAmt,XLBVal:6=-1521.320",)</f>
        <v>-1521.32</v>
      </c>
    </row>
    <row r="248" spans="1:3" x14ac:dyDescent="0.25">
      <c r="A248" s="9" t="s">
        <v>570</v>
      </c>
      <c r="B248" s="9" t="s">
        <v>571</v>
      </c>
      <c r="C248" s="16">
        <f>[1]!QAA_AGG("1,2,SS6,LA,F=KCA,K=DbC,F=A,K=/LA/Ldg,F=CEK000,T=CEK000,K=/LA/AccCde,F=001/2022,T=012/2022,K=/LA/Prd,F=P,T=PINV,K=/LA/JnlTyp,F=&lt;ALL&gt;,K=/LA/Alc,F=&lt;ALL&gt;,T=&lt;ALL&gt;,K=/LA/JnlSrc,F=E KETT,T=E KETT,K=/LA/CA/Nme,E=1,O=/LA/BseAmt,XLBVal:6=-1520.000",)</f>
        <v>-1520</v>
      </c>
    </row>
    <row r="249" spans="1:3" x14ac:dyDescent="0.25">
      <c r="A249" s="9" t="s">
        <v>572</v>
      </c>
      <c r="B249" s="9" t="s">
        <v>573</v>
      </c>
      <c r="C249" s="16">
        <f>[1]!QAA_AGG("1,2,SS6,LA,F=KCA,K=DbC,F=A,K=/LA/Ldg,F=CTH150,T=CTH150,K=/LA/AccCde,F=001/2022,T=012/2022,K=/LA/Prd,F=P,T=PINV,K=/LA/JnlTyp,F=&lt;ALL&gt;,K=/LA/Alc,F=&lt;ALL&gt;,T=&lt;ALL&gt;,K=/LA/JnlSrc,F=THE LAZY RIVER CAFE,T=THE LAZY RIVER CAFE,K=/LA/CA/Nme,E=1,O=/LA/BseAmt,XLBVal:6=-"&amp;"1502.020",)</f>
        <v>-1502.02</v>
      </c>
    </row>
    <row r="250" spans="1:3" x14ac:dyDescent="0.25">
      <c r="A250" s="9" t="s">
        <v>574</v>
      </c>
      <c r="B250" s="9" t="s">
        <v>575</v>
      </c>
      <c r="C250" s="16">
        <f>[1]!QAA_AGG("1,2,SS6,LA,F=KCA,K=DbC,F=A,K=/LA/Ldg,F=CRE002,T=CRE002,K=/LA/AccCde,F=001/2022,T=012/2022,K=/LA/Prd,F=P,T=PINV,K=/LA/JnlTyp,F=&lt;ALL&gt;,K=/LA/Alc,F=&lt;ALL&gt;,T=&lt;ALL&gt;,K=/LA/JnlSrc,F=Revolve Bike Shop,T=Revolve Bike Shop,K=/LA/CA/Nme,E=1,O=/LA/BseAmt,XLBVal:6=-1500"&amp;".000",)</f>
        <v>-1500</v>
      </c>
    </row>
    <row r="251" spans="1:3" x14ac:dyDescent="0.25">
      <c r="A251" s="9" t="s">
        <v>545</v>
      </c>
      <c r="B251" s="9" t="s">
        <v>546</v>
      </c>
      <c r="C251" s="16">
        <f>[1]!QAA_AGG("1,2,SS6,LA,F=KCA,K=DbC,F=A,K=/LA/Ldg,F=CBA081,T=CBA081,K=/LA/AccCde,F=001/2022,T=012/2022,K=/LA/Prd,F=P,T=PINV,K=/LA/JnlTyp,F=&lt;ALL&gt;,K=/LA/Alc,F=&lt;ALL&gt;,T=&lt;ALL&gt;,K=/LA/JnlSrc,F=BALLYHASS ADVENTURE GROUP,T=BALLYHASS ADVENTURE GROUP,K=/LA/CA/Nme,E=1,O=/LA/BseAm"&amp;"t,XLBVal:6=-1500.000",)</f>
        <v>-1500</v>
      </c>
    </row>
    <row r="252" spans="1:3" x14ac:dyDescent="0.25">
      <c r="A252" s="9" t="s">
        <v>576</v>
      </c>
      <c r="B252" s="9" t="s">
        <v>577</v>
      </c>
      <c r="C252" s="16">
        <f>[1]!QAA_AGG("1,2,SS6,LA,F=KCA,K=DbC,F=A,K=/LA/Ldg,F=CKI017,T=CKI017,K=/LA/AccCde,F=001/2022,T=012/2022,K=/LA/Prd,F=P,T=PINV,K=/LA/JnlTyp,F=&lt;ALL&gt;,K=/LA/Alc,F=&lt;ALL&gt;,T=&lt;ALL&gt;,K=/LA/JnlSrc,F=KILDARE &amp; LEIGHLIN SERVICES,T=KILDARE &amp; LEIGHLIN SERVICES,K=/LA/CA/Nme,E=1,O=/LA/B"&amp;"seAmt,XLBVal:6=-1500.000",)</f>
        <v>-1500</v>
      </c>
    </row>
    <row r="253" spans="1:3" x14ac:dyDescent="0.25">
      <c r="A253" s="9" t="s">
        <v>578</v>
      </c>
      <c r="B253" s="9" t="s">
        <v>579</v>
      </c>
      <c r="C253" s="16">
        <f>[1]!QAA_AGG("1,2,SS6,LA,F=KCA,K=DbC,F=A,K=/LA/Ldg,F=CHU011,T=CHU011,K=/LA/AccCde,F=001/2022,T=012/2022,K=/LA/Prd,F=P,T=PINV,K=/LA/JnlTyp,F=&lt;ALL&gt;,K=/LA/Alc,F=&lt;ALL&gt;,T=&lt;ALL&gt;,K=/LA/JnlSrc,F=HUSQVARNA CENTRE NEW ROSS,T=HUSQVARNA CENTRE NEW ROSS,K=/LA/CA/Nme,E=1,O=/LA/BseAm"&amp;"t,XLBVal:6=-1499.990",)</f>
        <v>-1499.99</v>
      </c>
    </row>
    <row r="254" spans="1:3" x14ac:dyDescent="0.25">
      <c r="A254" s="9" t="s">
        <v>557</v>
      </c>
      <c r="B254" s="9" t="s">
        <v>558</v>
      </c>
      <c r="C254" s="16">
        <f>[1]!QAA_AGG("1,2,SS6,LA,F=KCA,K=DbC,F=A,K=/LA/Ldg,F=CJL001,T=CJL001,K=/LA/AccCde,F=001/2022,T=012/2022,K=/LA/Prd,F=P,T=PINV,K=/LA/JnlTyp,F=&lt;ALL&gt;,K=/LA/Alc,F=&lt;ALL&gt;,T=&lt;ALL&gt;,K=/LA/JnlSrc,F=J.L. BRADSHAW &amp; CO. LTD.,T=J.L. BRADSHAW &amp; CO. LTD.,K=/LA/CA/Nme,E=1,O=/LA/BseAmt,"&amp;"XLBVal:6=-1457.730",)</f>
        <v>-1457.73</v>
      </c>
    </row>
    <row r="255" spans="1:3" x14ac:dyDescent="0.25">
      <c r="A255" s="9" t="s">
        <v>580</v>
      </c>
      <c r="B255" s="9" t="s">
        <v>581</v>
      </c>
      <c r="C255" s="16">
        <f>[1]!QAA_AGG("1,2,SS6,LA,F=KCA,K=DbC,F=A,K=/LA/Ldg,F=CGA020,T=CGA020,K=/LA/AccCde,F=001/2022,T=012/2022,K=/LA/Prd,F=P,T=PINV,K=/LA/JnlTyp,F=&lt;ALL&gt;,K=/LA/Alc,F=&lt;ALL&gt;,T=&lt;ALL&gt;,K=/LA/JnlSrc,F=CASTLE NURSERY-GARDNERS WORLD,T=CASTLE NURSERY-GARDNERS WORLD,K=/LA/CA/Nme,E=1,O=/"&amp;"LA/BseAmt,XLBVal:6=-1444.010",)</f>
        <v>-1444.01</v>
      </c>
    </row>
    <row r="256" spans="1:3" x14ac:dyDescent="0.25">
      <c r="A256" s="9" t="s">
        <v>582</v>
      </c>
      <c r="B256" s="9" t="s">
        <v>80</v>
      </c>
      <c r="C256" s="16">
        <f>[1]!QAA_AGG("1,2,SS6,LA,F=KCA,K=DbC,F=A,K=/LA/Ldg,F=CEM048,T=CEM048,K=/LA/AccCde,F=001/2022,T=012/2022,K=/LA/Prd,F=P,T=PINV,K=/LA/JnlTyp,F=&lt;ALL&gt;,K=/LA/Alc,F=&lt;ALL&gt;,T=&lt;ALL&gt;,K=/LA/JnlSrc,F=EMOVEMENT TOURS LTD,T=EMOVEMENT TOURS LTD,K=/LA/CA/Nme,E=1,O=/LA/BseAmt,XLBVal:6=-"&amp;"1440.000",)</f>
        <v>-1440</v>
      </c>
    </row>
    <row r="257" spans="1:3" x14ac:dyDescent="0.25">
      <c r="A257" s="9" t="s">
        <v>583</v>
      </c>
      <c r="B257" s="9" t="s">
        <v>584</v>
      </c>
      <c r="C257" s="16">
        <f>[1]!QAA_AGG("1,2,SS6,LA,F=KCA,K=DbC,F=A,K=/LA/Ldg,F=CGA021,T=CGA021,K=/LA/AccCde,F=001/2022,T=012/2022,K=/LA/Prd,F=P,T=PINV,K=/LA/JnlTyp,F=&lt;ALL&gt;,K=/LA/Alc,F=&lt;ALL&gt;,T=&lt;ALL&gt;,K=/LA/JnlSrc,F=GAINFORT HAIR &amp; BEAUTY SUPPLIES,T=GAINFORT HAIR &amp; BEAUTY SUPPLIES,K=/LA/CA/Nme,E=1"&amp;",O=/LA/BseAmt,XLBVal:6=-1419.890",)</f>
        <v>-1419.89</v>
      </c>
    </row>
    <row r="258" spans="1:3" x14ac:dyDescent="0.25">
      <c r="A258" s="9" t="s">
        <v>585</v>
      </c>
      <c r="B258" s="9" t="s">
        <v>586</v>
      </c>
      <c r="C258" s="16">
        <f>[1]!QAA_AGG("1,2,SS6,LA,F=KCA,K=DbC,F=A,K=/LA/Ldg,F=CIN017,T=CIN017,K=/LA/AccCde,F=001/2022,T=012/2022,K=/LA/Prd,F=P,T=PINV,K=/LA/JnlTyp,F=&lt;ALL&gt;,K=/LA/Alc,F=&lt;ALL&gt;,T=&lt;ALL&gt;,K=/LA/JnlSrc,F=INSTITUTE OF TECHNOLOGY CARLOW,T=INSTITUTE OF TECHNOLOGY CARLOW,K=/LA/CA/Nme,E=1,O"&amp;"=/LA/BseAmt,XLBVal:6=-1400.000",)</f>
        <v>-1400</v>
      </c>
    </row>
    <row r="259" spans="1:3" x14ac:dyDescent="0.25">
      <c r="A259" s="9" t="s">
        <v>587</v>
      </c>
      <c r="B259" s="9" t="s">
        <v>588</v>
      </c>
      <c r="C259" s="16">
        <f>[1]!QAA_AGG("1,2,SS6,LA,F=KCA,K=DbC,F=A,K=/LA/Ldg,F=CME001,T=CME001,K=/LA/AccCde,F=001/2022,T=012/2022,K=/LA/Prd,F=P,T=PINV,K=/LA/JnlTyp,F=&lt;ALL&gt;,K=/LA/Alc,F=&lt;ALL&gt;,T=&lt;ALL&gt;,K=/LA/JnlSrc,F=Medicore Medical,T=Medicore Medical,K=/LA/CA/Nme,E=1,O=/LA/BseAmt,XLBVal:6=-1400.0"&amp;"00",)</f>
        <v>-1400</v>
      </c>
    </row>
    <row r="260" spans="1:3" x14ac:dyDescent="0.25">
      <c r="A260" s="9" t="s">
        <v>589</v>
      </c>
      <c r="B260" s="9" t="s">
        <v>590</v>
      </c>
      <c r="C260" s="16">
        <f>[1]!QAA_AGG("1,2,SS6,LA,F=KCA,K=DbC,F=A,K=/LA/Ldg,F=CHE053,T=CHE053,K=/LA/AccCde,F=001/2022,T=012/2022,K=/LA/Prd,F=P,T=PINV,K=/LA/JnlTyp,F=&lt;ALL&gt;,K=/LA/Alc,F=&lt;ALL&gt;,T=&lt;ALL&gt;,K=/LA/JnlSrc,F=HEARTSAFETY SOLUTION,T=HEARTSAFETY SOLUTION,K=/LA/CA/Nme,E=1,O=/LA/BseAmt,XLBVal:6"&amp;"=-1396.050",)</f>
        <v>-1396.05</v>
      </c>
    </row>
    <row r="261" spans="1:3" x14ac:dyDescent="0.25">
      <c r="A261" s="9" t="s">
        <v>591</v>
      </c>
      <c r="B261" s="9" t="s">
        <v>592</v>
      </c>
      <c r="C261" s="16">
        <f>[1]!QAA_AGG("1,2,SS6,LA,F=KCA,K=DbC,F=A,K=/LA/Ldg,F=CKI059,T=CKI059,K=/LA/AccCde,F=001/2022,T=012/2022,K=/LA/Prd,F=P,T=PINV,K=/LA/JnlTyp,F=&lt;ALL&gt;,K=/LA/Alc,F=&lt;ALL&gt;,T=&lt;ALL&gt;,K=/LA/JnlSrc,F=KILKENNY LOCAL AUTHORITIES LEISURE,T=KILKENNY LOCAL AUTHORITIES LEISURE,K=/LA/CA/N"&amp;"me,E=1,O=/LA/BseAmt,XLBVal:6=-1392.500",)</f>
        <v>-1392.5</v>
      </c>
    </row>
    <row r="262" spans="1:3" x14ac:dyDescent="0.25">
      <c r="A262" s="9" t="s">
        <v>595</v>
      </c>
      <c r="B262" s="9" t="s">
        <v>596</v>
      </c>
      <c r="C262" s="16">
        <f>[1]!QAA_AGG("1,2,SS6,LA,F=KCA,K=DbC,F=A,K=/LA/Ldg,F=CTA045,T=CTA045,K=/LA/AccCde,F=001/2022,T=012/2022,K=/LA/Prd,F=P,T=PINV,K=/LA/JnlTyp,F=&lt;ALL&gt;,K=/LA/Alc,F=&lt;ALL&gt;,T=&lt;ALL&gt;,K=/LA/JnlSrc,F=TAJ TAXIS LTD,T=TAJ TAXIS LTD,K=/LA/CA/Nme,E=1,O=/LA/BseAmt,XLBVal:6=-1348.000",)</f>
        <v>-1348</v>
      </c>
    </row>
    <row r="263" spans="1:3" x14ac:dyDescent="0.25">
      <c r="A263" s="9" t="s">
        <v>597</v>
      </c>
      <c r="B263" s="9" t="s">
        <v>598</v>
      </c>
      <c r="C263" s="16">
        <f>[1]!QAA_AGG("1,2,SS6,LA,F=KCA,K=DbC,F=A,K=/LA/Ldg,F=COA003,T=COA003,K=/LA/AccCde,F=001/2022,T=012/2022,K=/LA/Prd,F=P,T=PINV,K=/LA/JnlTyp,F=&lt;ALL&gt;,K=/LA/Alc,F=&lt;ALL&gt;,T=&lt;ALL&gt;,K=/LA/JnlSrc,F=Oaktrail Innovations Ltd,T=Oaktrail Innovations Ltd,K=/LA/CA/Nme,E=1,O=/LA/BseAmt,"&amp;"XLBVal:6=-1346.000",)</f>
        <v>-1346</v>
      </c>
    </row>
    <row r="264" spans="1:3" x14ac:dyDescent="0.25">
      <c r="A264" s="9" t="s">
        <v>599</v>
      </c>
      <c r="B264" s="9" t="s">
        <v>600</v>
      </c>
      <c r="C264" s="16">
        <f>[1]!QAA_AGG("1,2,SS6,LA,F=KCA,K=DbC,F=A,K=/LA/Ldg,F=CLA044,T=CLA044,K=/LA/AccCde,F=001/2022,T=012/2022,K=/LA/Prd,F=P,T=PINV,K=/LA/JnlTyp,F=&lt;ALL&gt;,K=/LA/Alc,F=&lt;ALL&gt;,T=&lt;ALL&gt;,K=/LA/JnlSrc,F=LANGTON HOUSE HOTEL,T=LANGTON HOUSE HOTEL,K=/LA/CA/Nme,E=1,O=/LA/BseAmt,XLBVal:6=-"&amp;"1339.390",)</f>
        <v>-1339.39</v>
      </c>
    </row>
    <row r="265" spans="1:3" x14ac:dyDescent="0.25">
      <c r="A265" s="9" t="s">
        <v>601</v>
      </c>
      <c r="B265" s="9" t="s">
        <v>602</v>
      </c>
      <c r="C265" s="16">
        <f>[1]!QAA_AGG("1,2,SS6,LA,F=KCA,K=DbC,F=A,K=/LA/Ldg,F=CHO007,T=CHO007,K=/LA/AccCde,F=001/2022,T=012/2022,K=/LA/Prd,F=P,T=PINV,K=/LA/JnlTyp,F=&lt;ALL&gt;,K=/LA/Alc,F=&lt;ALL&gt;,T=&lt;ALL&gt;,K=/LA/JnlSrc,F=HORIZON SAFETY SYSTEMS,T=HORIZON SAFETY SYSTEMS,K=/LA/CA/Nme,E=1,O=/LA/BseAmt,XLBV"&amp;"al:6=-1335.850",)</f>
        <v>-1335.85</v>
      </c>
    </row>
    <row r="266" spans="1:3" x14ac:dyDescent="0.25">
      <c r="A266" s="9" t="s">
        <v>603</v>
      </c>
      <c r="B266" s="9" t="s">
        <v>604</v>
      </c>
      <c r="C266" s="16">
        <f>[1]!QAA_AGG("1,2,SS6,LA,F=KCA,K=DbC,F=A,K=/LA/Ldg,F=CMO003,T=CMO003,K=/LA/AccCde,F=001/2022,T=012/2022,K=/LA/Prd,F=P,T=PINV,K=/LA/JnlTyp,F=&lt;ALL&gt;,K=/LA/Alc,F=&lt;ALL&gt;,T=&lt;ALL&gt;,K=/LA/JnlSrc,F=MODERN PRINTERS LTD,T=MODERN PRINTERS LTD,K=/LA/CA/Nme,E=1,O=/LA/BseAmt,XLBVal:6=-"&amp;"1323.000",)</f>
        <v>-1323</v>
      </c>
    </row>
    <row r="267" spans="1:3" x14ac:dyDescent="0.25">
      <c r="A267" s="9" t="s">
        <v>593</v>
      </c>
      <c r="B267" s="9" t="s">
        <v>594</v>
      </c>
      <c r="C267" s="16">
        <f>[1]!QAA_AGG("1,2,SS6,LA,F=KCA,K=DbC,F=A,K=/LA/Ldg,F=CAR003,T=CAR003,K=/LA/AccCde,F=001/2022,T=012/2022,K=/LA/Prd,F=P,T=PINV,K=/LA/JnlTyp,F=&lt;ALL&gt;,K=/LA/Alc,F=&lt;ALL&gt;,T=&lt;ALL&gt;,K=/LA/JnlSrc,F=ARMED EYE FILM PRODUCTION CO,T=ARMED EYE FILM PRODUCTION CO,K=/LA/CA/Nme,E=1,O=/LA"&amp;"/BseAmt,XLBVal:6=-1322.000",)</f>
        <v>-1322</v>
      </c>
    </row>
    <row r="268" spans="1:3" x14ac:dyDescent="0.25">
      <c r="A268" s="9" t="s">
        <v>605</v>
      </c>
      <c r="B268" s="9" t="s">
        <v>35</v>
      </c>
      <c r="C268" s="16">
        <f>[1]!QAA_AGG("1,2,SS6,LA,F=KCA,K=DbC,F=A,K=/LA/Ldg,F=CMA452,T=CMA452,K=/LA/AccCde,F=001/2022,T=012/2022,K=/LA/Prd,F=P,T=PINV,K=/LA/JnlTyp,F=&lt;ALL&gt;,K=/LA/Alc,F=&lt;ALL&gt;,T=&lt;ALL&gt;,K=/LA/JnlSrc,F=MAEVE RYAN,T=MAEVE RYAN,K=/LA/CA/Nme,E=1,O=/LA/BseAmt,XLBVal:6=-1311.760",)</f>
        <v>-1311.76</v>
      </c>
    </row>
    <row r="269" spans="1:3" x14ac:dyDescent="0.25">
      <c r="A269" s="9" t="s">
        <v>20</v>
      </c>
      <c r="B269" s="9" t="s">
        <v>606</v>
      </c>
      <c r="C269" s="16">
        <f>[1]!QAA_AGG("1,2,SS6,LA,F=KCA,K=DbC,F=A,K=/LA/Ldg,F=CAC007,T=CAC007,K=/LA/AccCde,F=001/2022,T=012/2022,K=/LA/Prd,F=P,T=PINV,K=/LA/JnlTyp,F=&lt;ALL&gt;,K=/LA/Alc,F=&lt;ALL&gt;,T=&lt;ALL&gt;,K=/LA/JnlSrc,F=ACI SECURITY LTD,T=ACI SECURITY LTD,K=/LA/CA/Nme,E=1,O=/LA/BseAmt,XLBVal:6=-1307.2"&amp;"30",)</f>
        <v>-1307.23</v>
      </c>
    </row>
    <row r="270" spans="1:3" x14ac:dyDescent="0.25">
      <c r="A270" s="9" t="s">
        <v>609</v>
      </c>
      <c r="B270" s="9" t="s">
        <v>610</v>
      </c>
      <c r="C270" s="16">
        <f>[1]!QAA_AGG("1,2,SS6,LA,F=KCA,K=DbC,F=A,K=/LA/Ldg,F=CAM010,T=CAM010,K=/LA/AccCde,F=001/2022,T=012/2022,K=/LA/Prd,F=P,T=PINV,K=/LA/JnlTyp,F=&lt;ALL&gt;,K=/LA/Alc,F=&lt;ALL&gt;,T=&lt;ALL&gt;,K=/LA/JnlSrc,F=Amy Sheridan,T=Amy Sheridan,K=/LA/CA/Nme,E=1,O=/LA/BseAmt,XLBVal:6=-1284.790",)</f>
        <v>-1284.79</v>
      </c>
    </row>
    <row r="271" spans="1:3" x14ac:dyDescent="0.25">
      <c r="A271" s="9" t="s">
        <v>611</v>
      </c>
      <c r="B271" s="9" t="s">
        <v>612</v>
      </c>
      <c r="C271" s="16">
        <f>[1]!QAA_AGG("1,2,SS6,LA,F=KCA,K=DbC,F=A,K=/LA/Ldg,F=CDE070,T=CDE070,K=/LA/AccCde,F=001/2022,T=012/2022,K=/LA/Prd,F=P,T=PINV,K=/LA/JnlTyp,F=&lt;ALL&gt;,K=/LA/Alc,F=&lt;ALL&gt;,T=&lt;ALL&gt;,K=/LA/JnlSrc,F=DEELEN LTD T/A DEEGAN'S CENTRA,T=DEELEN LTD T/A DEEGAN'S CENTRA,K=/LA/CA/Nme,E=1,O"&amp;"=/LA/BseAmt,XLBVal:6=-1256.860",)</f>
        <v>-1256.8599999999999</v>
      </c>
    </row>
    <row r="272" spans="1:3" x14ac:dyDescent="0.25">
      <c r="A272" s="9" t="s">
        <v>59</v>
      </c>
      <c r="B272" s="9" t="s">
        <v>613</v>
      </c>
      <c r="C272" s="16">
        <f>[1]!QAA_AGG("1,2,SS6,LA,F=KCA,K=DbC,F=A,K=/LA/Ldg,F=CAL081,T=CAL081,K=/LA/AccCde,F=001/2022,T=012/2022,K=/LA/Prd,F=P,T=PINV,K=/LA/JnlTyp,F=&lt;ALL&gt;,K=/LA/Alc,F=&lt;ALL&gt;,T=&lt;ALL&gt;,K=/LA/JnlSrc,F=ALIVE OUTSIDE LTD,T=ALIVE OUTSIDE LTD,K=/LA/CA/Nme,E=1,O=/LA/BseAmt,XLBVal:6=-1248"&amp;".000",)</f>
        <v>-1248</v>
      </c>
    </row>
    <row r="273" spans="1:3" x14ac:dyDescent="0.25">
      <c r="A273" s="9" t="s">
        <v>614</v>
      </c>
      <c r="B273" s="9" t="s">
        <v>615</v>
      </c>
      <c r="C273" s="16">
        <f>[1]!QAA_AGG("1,2,SS6,LA,F=KCA,K=DbC,F=A,K=/LA/Ldg,F=CDE062,T=CDE062,K=/LA/AccCde,F=001/2022,T=012/2022,K=/LA/Prd,F=P,T=PINV,K=/LA/JnlTyp,F=&lt;ALL&gt;,K=/LA/Alc,F=&lt;ALL&gt;,T=&lt;ALL&gt;,K=/LA/JnlSrc,F=PAT CODY/DES CODY ELECTRICAL,T=PAT CODY/DES CODY ELECTRICAL,K=/LA/CA/Nme,E=1,O=/LA"&amp;"/BseAmt,XLBVal:6=-1244.000",)</f>
        <v>-1244</v>
      </c>
    </row>
    <row r="274" spans="1:3" x14ac:dyDescent="0.25">
      <c r="A274" s="9" t="s">
        <v>618</v>
      </c>
      <c r="B274" s="9" t="s">
        <v>619</v>
      </c>
      <c r="C274" s="16">
        <f>[1]!QAA_AGG("1,2,SS6,LA,F=KCA,K=DbC,F=A,K=/LA/Ldg,F=CIS001,T=CIS001,K=/LA/AccCde,F=001/2022,T=012/2022,K=/LA/Prd,F=P,T=PINV,K=/LA/JnlTyp,F=&lt;ALL&gt;,K=/LA/Alc,F=&lt;ALL&gt;,T=&lt;ALL&gt;,K=/LA/JnlSrc,F=Isabelle Cartwright,T=Isabelle Cartwright,K=/LA/CA/Nme,E=1,O=/LA/BseAmt,XLBVal:6=-"&amp;"1232.900",)</f>
        <v>-1232.9000000000001</v>
      </c>
    </row>
    <row r="275" spans="1:3" x14ac:dyDescent="0.25">
      <c r="A275" s="9" t="s">
        <v>620</v>
      </c>
      <c r="B275" s="9" t="s">
        <v>621</v>
      </c>
      <c r="C275" s="16">
        <f>[1]!QAA_AGG("1,2,SS6,LA,F=KCA,K=DbC,F=A,K=/LA/Ldg,F=CDU011,T=CDU011,K=/LA/AccCde,F=001/2022,T=012/2022,K=/LA/Prd,F=P,T=PINV,K=/LA/JnlTyp,F=&lt;ALL&gt;,K=/LA/Alc,F=&lt;ALL&gt;,T=&lt;ALL&gt;,K=/LA/JnlSrc,F=DUBLIN ZOO,T=DUBLIN ZOO,K=/LA/CA/Nme,E=1,O=/LA/BseAmt,XLBVal:6=-1230.500",)</f>
        <v>-1230.5</v>
      </c>
    </row>
    <row r="276" spans="1:3" x14ac:dyDescent="0.25">
      <c r="A276" s="9" t="s">
        <v>622</v>
      </c>
      <c r="B276" s="9" t="s">
        <v>623</v>
      </c>
      <c r="C276" s="16">
        <f>[1]!QAA_AGG("1,2,SS6,LA,F=KCA,K=DbC,F=A,K=/LA/Ldg,F=CCH031,T=CCH031,K=/LA/AccCde,F=001/2022,T=012/2022,K=/LA/Prd,F=P,T=PINV,K=/LA/JnlTyp,F=&lt;ALL&gt;,K=/LA/Alc,F=&lt;ALL&gt;,T=&lt;ALL&gt;,K=/LA/JnlSrc,F=CHADWICKS LTD,T=CHADWICKS LTD,K=/LA/CA/Nme,E=1,O=/LA/BseAmt,XLBVal:6=-1230.330",)</f>
        <v>-1230.33</v>
      </c>
    </row>
    <row r="277" spans="1:3" x14ac:dyDescent="0.25">
      <c r="A277" s="9" t="s">
        <v>624</v>
      </c>
      <c r="B277" s="9" t="s">
        <v>625</v>
      </c>
      <c r="C277" s="16">
        <f>[1]!QAA_AGG("1,2,SS6,LA,F=KCA,K=DbC,F=A,K=/LA/Ldg,F=CCO005,T=CCO005,K=/LA/AccCde,F=001/2022,T=012/2022,K=/LA/Prd,F=P,T=PINV,K=/LA/JnlTyp,F=&lt;ALL&gt;,K=/LA/Alc,F=&lt;ALL&gt;,T=&lt;ALL&gt;,K=/LA/JnlSrc,F=Communicative Marketing t/a Door to Door,T=Communicative Marketing t/a Door to Doo"&amp;"r,K=/LA/CA/Nme,E=1,O=/LA/BseAmt,XLBVal:6=-1230.000",)</f>
        <v>-1230</v>
      </c>
    </row>
    <row r="278" spans="1:3" x14ac:dyDescent="0.25">
      <c r="A278" s="9" t="s">
        <v>103</v>
      </c>
      <c r="B278" s="9" t="s">
        <v>626</v>
      </c>
      <c r="C278" s="16">
        <f>[1]!QAA_AGG("1,2,SS6,LA,F=KCA,K=DbC,F=A,K=/LA/Ldg,F=CMU018,T=CMU018,K=/LA/AccCde,F=001/2022,T=012/2022,K=/LA/Prd,F=P,T=PINV,K=/LA/JnlTyp,F=&lt;ALL&gt;,K=/LA/Alc,F=&lt;ALL&gt;,T=&lt;ALL&gt;,K=/LA/JnlSrc,F=MUSGRAVE WATERFORD LTD,T=MUSGRAVE WATERFORD LTD,K=/LA/CA/Nme,E=1,O=/LA/BseAmt,XLBV"&amp;"al:6=-1214.690",)</f>
        <v>-1214.69</v>
      </c>
    </row>
    <row r="279" spans="1:3" x14ac:dyDescent="0.25">
      <c r="A279" s="9" t="s">
        <v>627</v>
      </c>
      <c r="B279" s="9" t="s">
        <v>628</v>
      </c>
      <c r="C279" s="16">
        <f>[1]!QAA_AGG("1,2,SS6,LA,F=KCA,K=DbC,F=A,K=/LA/Ldg,F=CED014,T=CED014,K=/LA/AccCde,F=001/2022,T=012/2022,K=/LA/Prd,F=P,T=PINV,K=/LA/JnlTyp,F=&lt;ALL&gt;,K=/LA/Alc,F=&lt;ALL&gt;,T=&lt;ALL&gt;,K=/LA/JnlSrc,F=EDTECH,T=EDTECH,K=/LA/CA/Nme,E=1,O=/LA/BseAmt,XLBVal:6=-1211.050",)</f>
        <v>-1211.05</v>
      </c>
    </row>
    <row r="280" spans="1:3" x14ac:dyDescent="0.25">
      <c r="A280" s="9" t="s">
        <v>629</v>
      </c>
      <c r="B280" s="9" t="s">
        <v>630</v>
      </c>
      <c r="C280" s="16">
        <f>[1]!QAA_AGG("1,2,SS6,LA,F=KCA,K=DbC,F=A,K=/LA/Ldg,F=CFR020,T=CFR020,K=/LA/AccCde,F=001/2022,T=012/2022,K=/LA/Prd,F=P,T=PINV,K=/LA/JnlTyp,F=&lt;ALL&gt;,K=/LA/Alc,F=&lt;ALL&gt;,T=&lt;ALL&gt;,K=/LA/JnlSrc,F=Fred Archer &amp; Co,T=Fred Archer &amp; Co,K=/LA/CA/Nme,E=1,O=/LA/BseAmt,XLBVal:6=-1210.0"&amp;"00",)</f>
        <v>-1210</v>
      </c>
    </row>
    <row r="281" spans="1:3" x14ac:dyDescent="0.25">
      <c r="A281" s="9" t="s">
        <v>607</v>
      </c>
      <c r="B281" s="9" t="s">
        <v>608</v>
      </c>
      <c r="C281" s="16">
        <f>[1]!QAA_AGG("1,2,SS6,LA,F=KCA,K=DbC,F=A,K=/LA/Ldg,F=CDO004,T=CDO004,K=/LA/AccCde,F=001/2022,T=012/2022,K=/LA/Prd,F=P,T=PINV,K=/LA/JnlTyp,F=&lt;ALL&gt;,K=/LA/Alc,F=&lt;ALL&gt;,T=&lt;ALL&gt;,K=/LA/JnlSrc,F=THE WOODFORD DOLMEN HOTEL LTD.,T=THE WOODFORD DOLMEN HOTEL LTD.,K=/LA/CA/Nme,E=1,O"&amp;"=/LA/BseAmt,XLBVal:6=-1208.750",)</f>
        <v>-1208.75</v>
      </c>
    </row>
    <row r="282" spans="1:3" x14ac:dyDescent="0.25">
      <c r="A282" s="9" t="s">
        <v>616</v>
      </c>
      <c r="B282" s="9" t="s">
        <v>617</v>
      </c>
      <c r="C282" s="16">
        <f>[1]!QAA_AGG("1,2,SS6,LA,F=KCA,K=DbC,F=A,K=/LA/Ldg,F=CKI052,T=CKI052,K=/LA/AccCde,F=001/2022,T=012/2022,K=/LA/Prd,F=P,T=PINV,K=/LA/JnlTyp,F=&lt;ALL&gt;,K=/LA/Alc,F=&lt;ALL&gt;,T=&lt;ALL&gt;,K=/LA/JnlSrc,F=KILKENNY ORMONDE HOTEL,T=KILKENNY ORMONDE HOTEL,K=/LA/CA/Nme,E=1,O=/LA/BseAmt,XLBV"&amp;"al:6=-1198.000",)</f>
        <v>-1198</v>
      </c>
    </row>
    <row r="283" spans="1:3" x14ac:dyDescent="0.25">
      <c r="A283" s="9" t="s">
        <v>634</v>
      </c>
      <c r="B283" s="9" t="s">
        <v>635</v>
      </c>
      <c r="C283" s="16">
        <f>[1]!QAA_AGG("1,2,SS6,LA,F=KCA,K=DbC,F=A,K=/LA/Ldg,F=CTH173,T=CTH173,K=/LA/AccCde,F=001/2022,T=012/2022,K=/LA/Prd,F=P,T=PINV,K=/LA/JnlTyp,F=&lt;ALL&gt;,K=/LA/Alc,F=&lt;ALL&gt;,T=&lt;ALL&gt;,K=/LA/JnlSrc,F=THREE IRELAND LIMITED,T=THREE IRELAND LIMITED,K=/LA/CA/Nme,E=1,O=/LA/BseAmt,XLBVal"&amp;":6=-1159.850",)</f>
        <v>-1159.8499999999999</v>
      </c>
    </row>
    <row r="284" spans="1:3" x14ac:dyDescent="0.25">
      <c r="A284" s="9" t="s">
        <v>638</v>
      </c>
      <c r="B284" s="9" t="s">
        <v>639</v>
      </c>
      <c r="C284" s="16">
        <f>[1]!QAA_AGG("1,2,SS6,LA,F=KCA,K=DbC,F=A,K=/LA/Ldg,F=CMI126,T=CMI126,K=/LA/AccCde,F=001/2022,T=012/2022,K=/LA/Prd,F=P,T=PINV,K=/LA/JnlTyp,F=&lt;ALL&gt;,K=/LA/Alc,F=&lt;ALL&gt;,T=&lt;ALL&gt;,K=/LA/JnlSrc,F=MINDACLIENT,T=MINDACLIENT,K=/LA/CA/Nme,E=1,O=/LA/BseAmt,XLBVal:6=-1148.700",)</f>
        <v>-1148.7</v>
      </c>
    </row>
    <row r="285" spans="1:3" x14ac:dyDescent="0.25">
      <c r="A285" s="9" t="s">
        <v>642</v>
      </c>
      <c r="B285" s="9" t="s">
        <v>643</v>
      </c>
      <c r="C285" s="16">
        <f>[1]!QAA_AGG("1,2,SS6,LA,F=KCA,K=DbC,F=A,K=/LA/Ldg,F=COR014,T=COR014,K=/LA/AccCde,F=001/2022,T=012/2022,K=/LA/Prd,F=P,T=PINV,K=/LA/JnlTyp,F=&lt;ALL&gt;,K=/LA/Alc,F=&lt;ALL&gt;,T=&lt;ALL&gt;,K=/LA/JnlSrc,F=CHILDRENS THERAPY SERVICE,T=CHILDRENS THERAPY SERVICE,K=/LA/CA/Nme,E=1,O=/LA/BseAm"&amp;"t,XLBVal:6=-1120.000",)</f>
        <v>-1120</v>
      </c>
    </row>
    <row r="286" spans="1:3" x14ac:dyDescent="0.25">
      <c r="A286" s="9" t="s">
        <v>631</v>
      </c>
      <c r="B286" s="9" t="s">
        <v>77</v>
      </c>
      <c r="C286" s="16">
        <f>[1]!QAA_AGG("1,2,SS6,LA,F=KCA,K=DbC,F=A,K=/LA/Ldg,F=CHE088,T=CHE088,K=/LA/AccCde,F=001/2022,T=012/2022,K=/LA/Prd,F=P,T=PINV,K=/LA/JnlTyp,F=&lt;ALL&gt;,K=/LA/Alc,F=&lt;ALL&gt;,T=&lt;ALL&gt;,K=/LA/JnlSrc,F=HEALTHCARE 21,T=HEALTHCARE 21,K=/LA/CA/Nme,E=1,O=/LA/BseAmt,XLBVal:6=-1107.000",)</f>
        <v>-1107</v>
      </c>
    </row>
    <row r="287" spans="1:3" x14ac:dyDescent="0.25">
      <c r="A287" s="9" t="s">
        <v>644</v>
      </c>
      <c r="B287" s="9" t="s">
        <v>645</v>
      </c>
      <c r="C287" s="16">
        <f>[1]!QAA_AGG("1,2,SS6,LA,F=KCA,K=DbC,F=A,K=/LA/Ldg,F=CTR030,T=CTR030,K=/LA/AccCde,F=001/2022,T=012/2022,K=/LA/Prd,F=P,T=PINV,K=/LA/JnlTyp,F=&lt;ALL&gt;,K=/LA/Alc,F=&lt;ALL&gt;,T=&lt;ALL&gt;,K=/LA/JnlSrc,F=Treeline Ltd,T=Treeline Ltd,K=/LA/CA/Nme,E=1,O=/LA/BseAmt,XLBVal:6=-1106.630",)</f>
        <v>-1106.6300000000001</v>
      </c>
    </row>
    <row r="288" spans="1:3" x14ac:dyDescent="0.25">
      <c r="A288" s="9" t="s">
        <v>646</v>
      </c>
      <c r="B288" s="9" t="s">
        <v>647</v>
      </c>
      <c r="C288" s="16">
        <f>[1]!QAA_AGG("1,2,SS6,LA,F=KCA,K=DbC,F=A,K=/LA/Ldg,F=CPO021,T=CPO021,K=/LA/AccCde,F=001/2022,T=012/2022,K=/LA/Prd,F=P,T=PINV,K=/LA/JnlTyp,F=&lt;ALL&gt;,K=/LA/Alc,F=&lt;ALL&gt;,T=&lt;ALL&gt;,K=/LA/JnlSrc,F=PODIUM 4 SPORT LTD,T=PODIUM 4 SPORT LTD,K=/LA/CA/Nme,E=1,O=/LA/BseAmt,XLBVal:6=-11"&amp;"04.050",)</f>
        <v>-1104.05</v>
      </c>
    </row>
    <row r="289" spans="1:3" x14ac:dyDescent="0.25">
      <c r="A289" s="9" t="s">
        <v>648</v>
      </c>
      <c r="B289" s="9" t="s">
        <v>649</v>
      </c>
      <c r="C289" s="16">
        <f>[1]!QAA_AGG("1,2,SS6,LA,F=KCA,K=DbC,F=A,K=/LA/Ldg,F=CLI001,T=CLI001,K=/LA/AccCde,F=001/2022,T=012/2022,K=/LA/Prd,F=P,T=PINV,K=/LA/JnlTyp,F=&lt;ALL&gt;,K=/LA/Alc,F=&lt;ALL&gt;,T=&lt;ALL&gt;,K=/LA/JnlSrc,F=Limerick IT TUS,T=Limerick IT TUS,K=/LA/CA/Nme,E=1,O=/LA/BseAmt,XLBVal:6=-1100.000"&amp;"",)</f>
        <v>-1100</v>
      </c>
    </row>
    <row r="290" spans="1:3" x14ac:dyDescent="0.25">
      <c r="A290" s="9" t="s">
        <v>650</v>
      </c>
      <c r="B290" s="9" t="s">
        <v>651</v>
      </c>
      <c r="C290" s="16">
        <f>[1]!QAA_AGG("1,2,SS6,LA,F=KCA,K=DbC,F=A,K=/LA/Ldg,F=CDE005,T=CDE005,K=/LA/AccCde,F=001/2022,T=012/2022,K=/LA/Prd,F=P,T=PINV,K=/LA/JnlTyp,F=&lt;ALL&gt;,K=/LA/Alc,F=&lt;ALL&gt;,T=&lt;ALL&gt;,K=/LA/JnlSrc,F=Decathlon Sports Ireland Ltd,T=Decathlon Sports Ireland Ltd,K=/LA/CA/Nme,E=1,O=/LA"&amp;"/BseAmt,XLBVal:6=-1098.000",)</f>
        <v>-1098</v>
      </c>
    </row>
    <row r="291" spans="1:3" x14ac:dyDescent="0.25">
      <c r="A291" s="9" t="s">
        <v>632</v>
      </c>
      <c r="B291" s="9" t="s">
        <v>633</v>
      </c>
      <c r="C291" s="16">
        <f>[1]!QAA_AGG("1,2,SS6,LA,F=KCA,K=DbC,F=A,K=/LA/Ldg,F=CHE038,T=CHE038,K=/LA/AccCde,F=001/2022,T=012/2022,K=/LA/Prd,F=P,T=PINV,K=/LA/JnlTyp,F=&lt;ALL&gt;,K=/LA/Alc,F=&lt;ALL&gt;,T=&lt;ALL&gt;,K=/LA/JnlSrc,F=HENNESSY SPORTS,T=HENNESSY SPORTS,K=/LA/CA/Nme,E=1,O=/LA/BseAmt,XLBVal:6=-1092.430"&amp;"",)</f>
        <v>-1092.43</v>
      </c>
    </row>
    <row r="292" spans="1:3" x14ac:dyDescent="0.25">
      <c r="A292" s="9" t="s">
        <v>636</v>
      </c>
      <c r="B292" s="9" t="s">
        <v>637</v>
      </c>
      <c r="C292" s="16">
        <f>[1]!QAA_AGG("1,2,SS6,LA,F=KCA,K=DbC,F=A,K=/LA/Ldg,F=CLO059,T=CLO059,K=/LA/AccCde,F=001/2022,T=012/2022,K=/LA/Prd,F=P,T=PINV,K=/LA/JnlTyp,F=&lt;ALL&gt;,K=/LA/Alc,F=&lt;ALL&gt;,T=&lt;ALL&gt;,K=/LA/JnlSrc,F=LOREDO LTD,T=LOREDO LTD,K=/LA/CA/Nme,E=1,O=/LA/BseAmt,XLBVal:6=-1084.860",)</f>
        <v>-1084.8599999999999</v>
      </c>
    </row>
    <row r="293" spans="1:3" x14ac:dyDescent="0.25">
      <c r="A293" s="9" t="s">
        <v>653</v>
      </c>
      <c r="B293" s="9" t="s">
        <v>654</v>
      </c>
      <c r="C293" s="16">
        <f>[1]!QAA_AGG("1,2,SS6,LA,F=KCA,K=DbC,F=A,K=/LA/Ldg,F=CDA062,T=CDA062,K=/LA/AccCde,F=001/2022,T=012/2022,K=/LA/Prd,F=P,T=PINV,K=/LA/JnlTyp,F=&lt;ALL&gt;,K=/LA/Alc,F=&lt;ALL&gt;,T=&lt;ALL&gt;,K=/LA/JnlSrc,F=DANIEL AYLWARD,T=DANIEL AYLWARD,K=/LA/CA/Nme,E=1,O=/LA/BseAmt,XLBVal:6=-1070.000",)</f>
        <v>-1070</v>
      </c>
    </row>
    <row r="294" spans="1:3" x14ac:dyDescent="0.25">
      <c r="A294" s="9" t="s">
        <v>640</v>
      </c>
      <c r="B294" s="9" t="s">
        <v>641</v>
      </c>
      <c r="C294" s="16">
        <f>[1]!QAA_AGG("1,2,SS6,LA,F=KCA,K=DbC,F=A,K=/LA/Ldg,F=CMI193,T=CMI193,K=/LA/AccCde,F=001/2022,T=012/2022,K=/LA/Prd,F=P,T=PINV,K=/LA/JnlTyp,F=&lt;ALL&gt;,K=/LA/Alc,F=&lt;ALL&gt;,T=&lt;ALL&gt;,K=/LA/JnlSrc,F=MICHAEL J SCANNELL AND CO LTD,T=MICHAEL J SCANNELL AND CO LTD,K=/LA/CA/Nme,E=1,O=/"&amp;"LA/BseAmt,XLBVal:6=-1058.940",)</f>
        <v>-1058.94</v>
      </c>
    </row>
    <row r="295" spans="1:3" x14ac:dyDescent="0.25">
      <c r="A295" s="9" t="s">
        <v>657</v>
      </c>
      <c r="B295" s="9" t="s">
        <v>658</v>
      </c>
      <c r="C295" s="16">
        <f>[1]!QAA_AGG("1,2,SS6,LA,F=KCA,K=DbC,F=A,K=/LA/Ldg,F=CBA077,T=CBA077,K=/LA/AccCde,F=001/2022,T=012/2022,K=/LA/Prd,F=P,T=PINV,K=/LA/JnlTyp,F=&lt;ALL&gt;,K=/LA/Alc,F=&lt;ALL&gt;,T=&lt;ALL&gt;,K=/LA/JnlSrc,F=BARKER ARTS CENTRE T/A GARTER LANE ARTS,T=BARKER ARTS CENTRE T/A GARTER LANE ARTS,"&amp;"K=/LA/CA/Nme,E=1,O=/LA/BseAmt,XLBVal:6=-1052.000",)</f>
        <v>-1052</v>
      </c>
    </row>
    <row r="296" spans="1:3" x14ac:dyDescent="0.25">
      <c r="A296" s="9" t="s">
        <v>42</v>
      </c>
      <c r="B296" s="9" t="s">
        <v>36</v>
      </c>
      <c r="C296" s="16">
        <f>[1]!QAA_AGG("1,2,SS6,LA,F=KCA,K=DbC,F=A,K=/LA/Ldg,F=CCO196,T=CCO196,K=/LA/AccCde,F=001/2022,T=012/2022,K=/LA/Prd,F=P,T=PINV,K=/LA/JnlTyp,F=&lt;ALL&gt;,K=/LA/Alc,F=&lt;ALL&gt;,T=&lt;ALL&gt;,K=/LA/JnlSrc,F=CORAJIO T/A MR PRICE,T=CORAJIO T/A MR PRICE,K=/LA/CA/Nme,E=1,O=/LA/BseAmt,XLBVal:6"&amp;"=-1046.130",)</f>
        <v>-1046.1300000000001</v>
      </c>
    </row>
    <row r="297" spans="1:3" x14ac:dyDescent="0.25">
      <c r="A297" s="9" t="s">
        <v>659</v>
      </c>
      <c r="B297" s="9" t="s">
        <v>37</v>
      </c>
      <c r="C297" s="16">
        <f>[1]!QAA_AGG("1,2,SS6,LA,F=KCA,K=DbC,F=A,K=/LA/Ldg,F=CCL059,T=CCL059,K=/LA/AccCde,F=001/2022,T=012/2022,K=/LA/Prd,F=P,T=PINV,K=/LA/JnlTyp,F=&lt;ALL&gt;,K=/LA/Alc,F=&lt;ALL&gt;,T=&lt;ALL&gt;,K=/LA/JnlSrc,F=CLASSROOM GUIDANCE,T=CLASSROOM GUIDANCE,K=/LA/CA/Nme,E=1,O=/LA/BseAmt,XLBVal:6=-10"&amp;"43.170",)</f>
        <v>-1043.17</v>
      </c>
    </row>
    <row r="298" spans="1:3" x14ac:dyDescent="0.25">
      <c r="A298" s="9" t="s">
        <v>652</v>
      </c>
      <c r="B298" s="9" t="s">
        <v>47</v>
      </c>
      <c r="C298" s="16">
        <f>[1]!QAA_AGG("1,2,SS6,LA,F=KCA,K=DbC,F=A,K=/LA/Ldg,F=CED001,T=CED001,K=/LA/AccCde,F=001/2022,T=012/2022,K=/LA/Prd,F=P,T=PINV,K=/LA/JnlTyp,F=&lt;ALL&gt;,K=/LA/Alc,F=&lt;ALL&gt;,T=&lt;ALL&gt;,K=/LA/JnlSrc,F=EDUCATIONAL COMPANY OF IRELAND,T=EDUCATIONAL COMPANY OF IRELAND,K=/LA/CA/Nme,E=1,O"&amp;"=/LA/BseAmt,XLBVal:6=-1036.810",)</f>
        <v>-1036.81</v>
      </c>
    </row>
    <row r="299" spans="1:3" x14ac:dyDescent="0.25">
      <c r="A299" s="9" t="s">
        <v>868</v>
      </c>
      <c r="B299" s="9" t="s">
        <v>869</v>
      </c>
      <c r="C299" s="16">
        <f>[1]!QAA_AGG("1,2,SS6,LA,F=KCA,K=DbC,F=A,K=/LA/Ldg,F=CSE102,T=CSE102,K=/LA/AccCde,F=001/2022,T=012/2022,K=/LA/Prd,F=P,T=PINV,K=/LA/JnlTyp,F=&lt;ALL&gt;,K=/LA/Alc,F=&lt;ALL&gt;,T=&lt;ALL&gt;,K=/LA/JnlSrc,F=SEEFIN EVENTS LTD T/A KIPPURE ESTATE,T=SEEFIN EVENTS LTD T/A KIPPURE ESTATE,K=/LA/"&amp;"CA/Nme,E=1,O=/LA/BseAmt,XLBVal:6=-1032.000",)</f>
        <v>-1032</v>
      </c>
    </row>
    <row r="300" spans="1:3" x14ac:dyDescent="0.25">
      <c r="A300" s="9" t="s">
        <v>662</v>
      </c>
      <c r="B300" s="9" t="s">
        <v>663</v>
      </c>
      <c r="C300" s="16">
        <f>[1]!QAA_AGG("1,2,SS6,LA,F=KCA,K=DbC,F=A,K=/LA/Ldg,F=CHO006,T=CHO006,K=/LA/AccCde,F=001/2022,T=012/2022,K=/LA/Prd,F=P,T=PINV,K=/LA/JnlTyp,F=&lt;ALL&gt;,K=/LA/Alc,F=&lt;ALL&gt;,T=&lt;ALL&gt;,K=/LA/JnlSrc,F=Home Instead,T=Home Instead,K=/LA/CA/Nme,E=1,O=/LA/BseAmt,XLBVal:6=-1025.700",)</f>
        <v>-1025.7</v>
      </c>
    </row>
    <row r="301" spans="1:3" x14ac:dyDescent="0.25">
      <c r="A301" s="9" t="s">
        <v>664</v>
      </c>
      <c r="B301" s="9" t="s">
        <v>665</v>
      </c>
      <c r="C301" s="16">
        <f>[1]!QAA_AGG("1,2,SS6,LA,F=KCA,K=DbC,F=A,K=/LA/Ldg,F=CED066,T=CED066,K=/LA/AccCde,F=001/2022,T=012/2022,K=/LA/Prd,F=P,T=PINV,K=/LA/JnlTyp,F=&lt;ALL&gt;,K=/LA/Alc,F=&lt;ALL&gt;,T=&lt;ALL&gt;,K=/LA/JnlSrc,F=EDUCATIONAL RESEARCH CENTRE - TEST DEPARTMENT,T=EDUCATIONAL RESEARCH CENTRE - TEST"&amp;" DEPARTMENT,K=/LA/CA/Nme,E=1,O=/LA/BseAmt,XLBVal:6=-1023.000",)</f>
        <v>-1023</v>
      </c>
    </row>
    <row r="302" spans="1:3" x14ac:dyDescent="0.25">
      <c r="A302" s="9" t="s">
        <v>655</v>
      </c>
      <c r="B302" s="9" t="s">
        <v>656</v>
      </c>
      <c r="C302" s="16">
        <f>[1]!QAA_AGG("1,2,SS6,LA,F=KCA,K=DbC,F=A,K=/LA/Ldg,F=CXE000,T=CXE000,K=/LA/AccCde,F=001/2022,T=012/2022,K=/LA/Prd,F=P,T=PINV,K=/LA/JnlTyp,F=&lt;ALL&gt;,K=/LA/Alc,F=&lt;ALL&gt;,T=&lt;ALL&gt;,K=/LA/JnlSrc,F=XENON SECURITY SYSTEMS,T=XENON SECURITY SYSTEMS,K=/LA/CA/Nme,E=1,O=/LA/BseAmt,XLBV"&amp;"al:6=-1022.410",)</f>
        <v>-1022.41</v>
      </c>
    </row>
    <row r="303" spans="1:3" x14ac:dyDescent="0.25">
      <c r="A303" s="9" t="s">
        <v>666</v>
      </c>
      <c r="B303" s="9" t="s">
        <v>667</v>
      </c>
      <c r="C303" s="16">
        <f>[1]!QAA_AGG("1,2,SS6,LA,F=KCA,K=DbC,F=A,K=/LA/Ldg,F=CCA199,T=CCA199,K=/LA/AccCde,F=001/2022,T=012/2022,K=/LA/Prd,F=P,T=PINV,K=/LA/JnlTyp,F=&lt;ALL&gt;,K=/LA/Alc,F=&lt;ALL&gt;,T=&lt;ALL&gt;,K=/LA/JnlSrc,F=CAMPION MECHANICAL &amp; ELECTRICAL ENG. LTD. T/A CAMP,T=CAMPION MECHANICAL &amp; ELECTRIC"&amp;"AL ENG. LTD. T/A CAMP,K=/LA/CA/Nme,E=1,O=/LA/BseAmt,XLBVal:6=-1021.500",)</f>
        <v>-1021.5</v>
      </c>
    </row>
    <row r="304" spans="1:3" x14ac:dyDescent="0.25">
      <c r="A304" s="9" t="s">
        <v>669</v>
      </c>
      <c r="B304" s="9" t="s">
        <v>670</v>
      </c>
      <c r="C304" s="16">
        <f>[1]!QAA_AGG("1,2,SS6,LA,F=KCA,K=DbC,F=A,K=/LA/Ldg,F=CBA005,T=CBA005,K=/LA/AccCde,F=001/2022,T=012/2022,K=/LA/Prd,F=P,T=PINV,K=/LA/JnlTyp,F=&lt;ALL&gt;,K=/LA/Alc,F=&lt;ALL&gt;,T=&lt;ALL&gt;,K=/LA/JnlSrc,F=Barry Morrissey's Limited,T=Barry Morrissey's Limited,K=/LA/CA/Nme,E=1,O=/LA/BseAm"&amp;"t,XLBVal:6=-1002.800",)</f>
        <v>-1002.8</v>
      </c>
    </row>
    <row r="305" spans="1:3" x14ac:dyDescent="0.25">
      <c r="A305" s="9" t="s">
        <v>671</v>
      </c>
      <c r="B305" s="9" t="s">
        <v>672</v>
      </c>
      <c r="C305" s="16">
        <f>[1]!QAA_AGG("1,2,SS6,LA,F=KCA,K=DbC,F=A,K=/LA/Ldg,F=CMI157,T=CMI157,K=/LA/AccCde,F=001/2022,T=012/2022,K=/LA/Prd,F=P,T=PINV,K=/LA/JnlTyp,F=&lt;ALL&gt;,K=/LA/Alc,F=&lt;ALL&gt;,T=&lt;ALL&gt;,K=/LA/JnlSrc,F=MIDLAND GRASS MACHINERY,T=MIDLAND GRASS MACHINERY,K=/LA/CA/Nme,E=1,O=/LA/BseAmt,XL"&amp;"BVal:6=-1000.000",)</f>
        <v>-1000</v>
      </c>
    </row>
    <row r="306" spans="1:3" x14ac:dyDescent="0.25">
      <c r="A306" s="9" t="s">
        <v>673</v>
      </c>
      <c r="B306" s="9" t="s">
        <v>674</v>
      </c>
      <c r="C306" s="16">
        <f>[1]!QAA_AGG("1,2,SS6,LA,F=KCA,K=DbC,F=A,K=/LA/Ldg,F=CQU014,T=CQU014,K=/LA/AccCde,F=001/2022,T=012/2022,K=/LA/Prd,F=P,T=PINV,K=/LA/JnlTyp,F=&lt;ALL&gt;,K=/LA/Alc,F=&lt;ALL&gt;,T=&lt;ALL&gt;,K=/LA/JnlSrc,F=QUALITY AND QUALIFICATIONS IRELAND,T=QUALITY AND QUALIFICATIONS IRELAND,K=/LA/CA/N"&amp;"me,E=1,O=/LA/BseAmt,XLBVal:6=-1000.000",)</f>
        <v>-1000</v>
      </c>
    </row>
    <row r="307" spans="1:3" x14ac:dyDescent="0.25">
      <c r="A307" s="9" t="s">
        <v>675</v>
      </c>
      <c r="B307" s="9" t="s">
        <v>676</v>
      </c>
      <c r="C307" s="16">
        <f>[1]!QAA_AGG("1,2,SS6,LA,F=KCA,K=DbC,F=A,K=/LA/Ldg,F=CPE034,T=CPE034,K=/LA/AccCde,F=001/2022,T=012/2022,K=/LA/Prd,F=P,T=PINV,K=/LA/JnlTyp,F=&lt;ALL&gt;,K=/LA/Alc,F=&lt;ALL&gt;,T=&lt;ALL&gt;,K=/LA/JnlSrc,F=PEDALHOUNDS,T=PEDALHOUNDS,K=/LA/CA/Nme,E=1,O=/LA/BseAmt,XLBVal:6=-998.000",)</f>
        <v>-998</v>
      </c>
    </row>
    <row r="308" spans="1:3" x14ac:dyDescent="0.25">
      <c r="A308" s="9" t="s">
        <v>678</v>
      </c>
      <c r="B308" s="9" t="s">
        <v>679</v>
      </c>
      <c r="C308" s="16">
        <f>[1]!QAA_AGG("1,2,SS6,LA,F=KCA,K=DbC,F=A,K=/LA/Ldg,F=CCO043,T=CCO043,K=/LA/AccCde,F=001/2022,T=012/2022,K=/LA/Prd,F=P,T=PINV,K=/LA/JnlTyp,F=&lt;ALL&gt;,K=/LA/Alc,F=&lt;ALL&gt;,T=&lt;ALL&gt;,K=/LA/JnlSrc,F=COPYMOORE LTD,T=COPYMOORE LTD,K=/LA/CA/Nme,E=1,O=/LA/BseAmt,XLBVal:6=-996.820",)</f>
        <v>-996.82</v>
      </c>
    </row>
    <row r="309" spans="1:3" x14ac:dyDescent="0.25">
      <c r="A309" s="9" t="s">
        <v>682</v>
      </c>
      <c r="B309" s="9" t="s">
        <v>683</v>
      </c>
      <c r="C309" s="16">
        <f>[1]!QAA_AGG("1,2,SS6,LA,F=KCA,K=DbC,F=A,K=/LA/Ldg,F=CSC002,T=CSC002,K=/LA/AccCde,F=001/2022,T=012/2022,K=/LA/Prd,F=P,T=PINV,K=/LA/JnlTyp,F=&lt;ALL&gt;,K=/LA/Alc,F=&lt;ALL&gt;,T=&lt;ALL&gt;,K=/LA/JnlSrc,F=SCHINDLER IRELAND,T=SCHINDLER IRELAND,K=/LA/CA/Nme,E=1,O=/LA/BseAmt,XLBVal:6=-993."&amp;"120",)</f>
        <v>-993.12</v>
      </c>
    </row>
    <row r="310" spans="1:3" x14ac:dyDescent="0.25">
      <c r="A310" s="9" t="s">
        <v>660</v>
      </c>
      <c r="B310" s="9" t="s">
        <v>661</v>
      </c>
      <c r="C310" s="16">
        <f>[1]!QAA_AGG("1,2,SS6,LA,F=KCA,K=DbC,F=A,K=/LA/Ldg,F=CMI095,T=CMI095,K=/LA/AccCde,F=001/2022,T=012/2022,K=/LA/Prd,F=P,T=PINV,K=/LA/JnlTyp,F=&lt;ALL&gt;,K=/LA/Alc,F=&lt;ALL&gt;,T=&lt;ALL&gt;,K=/LA/JnlSrc,F=MICHAEL CODY,T=MICHAEL CODY,K=/LA/CA/Nme,E=1,O=/LA/BseAmt,XLBVal:6=-990.000",)</f>
        <v>-990</v>
      </c>
    </row>
    <row r="311" spans="1:3" x14ac:dyDescent="0.25">
      <c r="A311" s="9" t="s">
        <v>684</v>
      </c>
      <c r="B311" s="9" t="s">
        <v>53</v>
      </c>
      <c r="C311" s="16">
        <f>[1]!QAA_AGG("1,2,SS6,LA,F=KCA,K=DbC,F=A,K=/LA/Ldg,F=CDU014,T=CDU014,K=/LA/AccCde,F=001/2022,T=012/2022,K=/LA/Prd,F=P,T=PINV,K=/LA/JnlTyp,F=&lt;ALL&gt;,K=/LA/Alc,F=&lt;ALL&gt;,T=&lt;ALL&gt;,K=/LA/JnlSrc,F=DURROW COMMUNICATIONS LTD,T=DURROW COMMUNICATIONS LTD,K=/LA/CA/Nme,E=1,O=/LA/BseAm"&amp;"t,XLBVal:6=-984.000",)</f>
        <v>-984</v>
      </c>
    </row>
    <row r="312" spans="1:3" x14ac:dyDescent="0.25">
      <c r="A312" s="9" t="s">
        <v>52</v>
      </c>
      <c r="B312" s="9" t="s">
        <v>668</v>
      </c>
      <c r="C312" s="16">
        <f>[1]!QAA_AGG("1,2,SS6,LA,F=KCA,K=DbC,F=A,K=/LA/Ldg,F=CDU003,T=CDU003,K=/LA/AccCde,F=001/2022,T=012/2022,K=/LA/Prd,F=P,T=PINV,K=/LA/JnlTyp,F=&lt;ALL&gt;,K=/LA/Alc,F=&lt;ALL&gt;,T=&lt;ALL&gt;,K=/LA/JnlSrc,F=Dublin Barista School,T=Dublin Barista School,K=/LA/CA/Nme,E=1,O=/LA/BseAmt,XLBVal"&amp;":6=-975.000",)</f>
        <v>-975</v>
      </c>
    </row>
    <row r="313" spans="1:3" x14ac:dyDescent="0.25">
      <c r="A313" s="9" t="s">
        <v>685</v>
      </c>
      <c r="B313" s="9" t="s">
        <v>686</v>
      </c>
      <c r="C313" s="16">
        <f>[1]!QAA_AGG("1,2,SS6,LA,F=KCA,K=DbC,F=A,K=/LA/Ldg,F=CIR004,T=CIR004,K=/LA/AccCde,F=001/2022,T=012/2022,K=/LA/Prd,F=P,T=PINV,K=/LA/JnlTyp,F=&lt;ALL&gt;,K=/LA/Alc,F=&lt;ALL&gt;,T=&lt;ALL&gt;,K=/LA/JnlSrc,F=Irish National Stud Commercial Enterprise DAC,T=Irish National Stud Commercial Ent"&amp;"erprise DAC,K=/LA/CA/Nme,E=1,O=/LA/BseAmt,XLBVal:6=-975.000",)</f>
        <v>-975</v>
      </c>
    </row>
    <row r="314" spans="1:3" x14ac:dyDescent="0.25">
      <c r="A314" s="9" t="s">
        <v>687</v>
      </c>
      <c r="B314" s="9" t="s">
        <v>688</v>
      </c>
      <c r="C314" s="16">
        <f>[1]!QAA_AGG("1,2,SS6,LA,F=KCA,K=DbC,F=A,K=/LA/Ldg,F=CFI036,T=CFI036,K=/LA/AccCde,F=001/2022,T=012/2022,K=/LA/Prd,F=P,T=PINV,K=/LA/JnlTyp,F=&lt;ALL&gt;,K=/LA/Alc,F=&lt;ALL&gt;,T=&lt;ALL&gt;,K=/LA/JnlSrc,F=FIRE SENTRY SYSTEMS LTD,T=FIRE SENTRY SYSTEMS LTD,K=/LA/CA/Nme,E=1,O=/LA/BseAmt,XL"&amp;"BVal:6=-958.530",)</f>
        <v>-958.53</v>
      </c>
    </row>
    <row r="315" spans="1:3" x14ac:dyDescent="0.25">
      <c r="A315" s="9" t="s">
        <v>39</v>
      </c>
      <c r="B315" s="9" t="s">
        <v>677</v>
      </c>
      <c r="C315" s="16">
        <f>[1]!QAA_AGG("1,2,SS6,LA,F=KCA,K=DbC,F=A,K=/LA/Ldg,F=CCA003,T=CCA003,K=/LA/AccCde,F=001/2022,T=012/2022,K=/LA/Prd,F=P,T=PINV,K=/LA/JnlTyp,F=&lt;ALL&gt;,K=/LA/Alc,F=&lt;ALL&gt;,T=&lt;ALL&gt;,K=/LA/JnlSrc,F=CARLOW CAB SERVICE,T=CARLOW CAB SERVICE,K=/LA/CA/Nme,E=1,O=/LA/BseAmt,XLBVal:6=-95"&amp;"7.000",)</f>
        <v>-957</v>
      </c>
    </row>
    <row r="316" spans="1:3" x14ac:dyDescent="0.25">
      <c r="A316" s="9" t="s">
        <v>680</v>
      </c>
      <c r="B316" s="9" t="s">
        <v>681</v>
      </c>
      <c r="C316" s="16">
        <f>[1]!QAA_AGG("1,2,SS6,LA,F=KCA,K=DbC,F=A,K=/LA/Ldg,F=CBO027,T=CBO027,K=/LA/AccCde,F=001/2022,T=012/2022,K=/LA/Prd,F=P,T=PINV,K=/LA/JnlTyp,F=&lt;ALL&gt;,K=/LA/Alc,F=&lt;ALL&gt;,T=&lt;ALL&gt;,K=/LA/JnlSrc,F=BOMAR LIMITED,T=BOMAR LIMITED,K=/LA/CA/Nme,E=1,O=/LA/BseAmt,XLBVal:6=-955.200",)</f>
        <v>-955.2</v>
      </c>
    </row>
    <row r="317" spans="1:3" x14ac:dyDescent="0.25">
      <c r="A317" s="9" t="s">
        <v>689</v>
      </c>
      <c r="B317" s="9" t="s">
        <v>690</v>
      </c>
      <c r="C317" s="16">
        <f>[1]!QAA_AGG("1,2,SS6,LA,F=KCA,K=DbC,F=A,K=/LA/Ldg,F=CHI005,T=CHI005,K=/LA/AccCde,F=001/2022,T=012/2022,K=/LA/Prd,F=P,T=PINV,K=/LA/JnlTyp,F=&lt;ALL&gt;,K=/LA/Alc,F=&lt;ALL&gt;,T=&lt;ALL&gt;,K=/LA/JnlSrc,F=Higgins Furniture Hire Ltd,T=Higgins Furniture Hire Ltd,K=/LA/CA/Nme,E=1,O=/LA/Bse"&amp;"Amt,XLBVal:6=-944.640",)</f>
        <v>-944.64</v>
      </c>
    </row>
    <row r="318" spans="1:3" x14ac:dyDescent="0.25">
      <c r="A318" s="9" t="s">
        <v>691</v>
      </c>
      <c r="B318" s="9" t="s">
        <v>692</v>
      </c>
      <c r="C318" s="16">
        <f>[1]!QAA_AGG("1,2,SS6,LA,F=KCA,K=DbC,F=A,K=/LA/Ldg,F=CNO034,T=CNO034,K=/LA/AccCde,F=001/2022,T=012/2022,K=/LA/Prd,F=P,T=PINV,K=/LA/JnlTyp,F=&lt;ALL&gt;,K=/LA/Alc,F=&lt;ALL&gt;,T=&lt;ALL&gt;,K=/LA/JnlSrc,F=NOLANS OF KILKENNY,T=NOLANS OF KILKENNY,K=/LA/CA/Nme,E=1,O=/LA/BseAmt,XLBVal:6=-94"&amp;"0.000",)</f>
        <v>-940</v>
      </c>
    </row>
    <row r="319" spans="1:3" x14ac:dyDescent="0.25">
      <c r="A319" s="9" t="s">
        <v>693</v>
      </c>
      <c r="B319" s="9" t="s">
        <v>694</v>
      </c>
      <c r="C319" s="16">
        <f>[1]!QAA_AGG("1,2,SS6,LA,F=KCA,K=DbC,F=A,K=/LA/Ldg,F=CPA004,T=CPA004,K=/LA/AccCde,F=001/2022,T=012/2022,K=/LA/Prd,F=P,T=PINV,K=/LA/JnlTyp,F=&lt;ALL&gt;,K=/LA/Alc,F=&lt;ALL&gt;,T=&lt;ALL&gt;,K=/LA/JnlSrc,F=Pat O'Connor,T=Pat O'Connor,K=/LA/CA/Nme,E=1,O=/LA/BseAmt,XLBVal:6=-936.000",)</f>
        <v>-936</v>
      </c>
    </row>
    <row r="320" spans="1:3" x14ac:dyDescent="0.25">
      <c r="A320" s="9" t="s">
        <v>695</v>
      </c>
      <c r="B320" s="9" t="s">
        <v>696</v>
      </c>
      <c r="C320" s="16">
        <f>[1]!QAA_AGG("1,2,SS6,LA,F=KCA,K=DbC,F=A,K=/LA/Ldg,F=CMA009,T=CMA009,K=/LA/AccCde,F=001/2022,T=012/2022,K=/LA/Prd,F=P,T=PINV,K=/LA/JnlTyp,F=&lt;ALL&gt;,K=/LA/Alc,F=&lt;ALL&gt;,T=&lt;ALL&gt;,K=/LA/JnlSrc,F=Marie Hayles,T=Marie Hayles,K=/LA/CA/Nme,E=1,O=/LA/BseAmt,XLBVal:6=-936.000",)</f>
        <v>-936</v>
      </c>
    </row>
    <row r="321" spans="1:3" x14ac:dyDescent="0.25">
      <c r="A321" s="9" t="s">
        <v>697</v>
      </c>
      <c r="B321" s="9" t="s">
        <v>698</v>
      </c>
      <c r="C321" s="16">
        <f>[1]!QAA_AGG("1,2,SS6,LA,F=KCA,K=DbC,F=A,K=/LA/Ldg,F=CAL008,T=CAL008,K=/LA/AccCde,F=001/2022,T=012/2022,K=/LA/Prd,F=P,T=PINV,K=/LA/JnlTyp,F=&lt;ALL&gt;,K=/LA/Alc,F=&lt;ALL&gt;,T=&lt;ALL&gt;,K=/LA/JnlSrc,F=Alison Ruschitzko,T=Alison Ruschitzko,K=/LA/CA/Nme,E=1,O=/LA/BseAmt,XLBVal:6=-936."&amp;"000",)</f>
        <v>-936</v>
      </c>
    </row>
    <row r="322" spans="1:3" x14ac:dyDescent="0.25">
      <c r="A322" s="9" t="s">
        <v>699</v>
      </c>
      <c r="B322" s="9" t="s">
        <v>700</v>
      </c>
      <c r="C322" s="16">
        <f>[1]!QAA_AGG("1,2,SS6,LA,F=KCA,K=DbC,F=A,K=/LA/Ldg,F=CSH020,T=CSH020,K=/LA/AccCde,F=001/2022,T=012/2022,K=/LA/Prd,F=P,T=PINV,K=/LA/JnlTyp,F=&lt;ALL&gt;,K=/LA/Alc,F=&lt;ALL&gt;,T=&lt;ALL&gt;,K=/LA/JnlSrc,F=Sharon Delahunty,T=Sharon Delahunty,K=/LA/CA/Nme,E=1,O=/LA/BseAmt,XLBVal:6=-936.00"&amp;"0",)</f>
        <v>-936</v>
      </c>
    </row>
    <row r="323" spans="1:3" x14ac:dyDescent="0.25">
      <c r="A323" s="9" t="s">
        <v>701</v>
      </c>
      <c r="B323" s="9" t="s">
        <v>702</v>
      </c>
      <c r="C323" s="16">
        <f>[1]!QAA_AGG("1,2,SS6,LA,F=KCA,K=DbC,F=A,K=/LA/Ldg,F=CTE005,T=CTE005,K=/LA/AccCde,F=001/2022,T=012/2022,K=/LA/Prd,F=P,T=PINV,K=/LA/JnlTyp,F=&lt;ALL&gt;,K=/LA/Alc,F=&lt;ALL&gt;,T=&lt;ALL&gt;,K=/LA/JnlSrc,F=Teresa Doyle,T=Teresa Doyle,K=/LA/CA/Nme,E=1,O=/LA/BseAmt,XLBVal:6=-936.000",)</f>
        <v>-936</v>
      </c>
    </row>
    <row r="324" spans="1:3" x14ac:dyDescent="0.25">
      <c r="A324" s="9" t="s">
        <v>703</v>
      </c>
      <c r="B324" s="9" t="s">
        <v>704</v>
      </c>
      <c r="C324" s="16">
        <f>[1]!QAA_AGG("1,2,SS6,LA,F=KCA,K=DbC,F=A,K=/LA/Ldg,F=CSU000,T=CSU000,K=/LA/AccCde,F=001/2022,T=012/2022,K=/LA/Prd,F=P,T=PINV,K=/LA/JnlTyp,F=&lt;ALL&gt;,K=/LA/Alc,F=&lt;ALL&gt;,T=&lt;ALL&gt;,K=/LA/JnlSrc,F=SUPERVALU,T=SUPERVALU,K=/LA/CA/Nme,E=1,O=/LA/BseAmt,XLBVal:6=-930.110",)</f>
        <v>-930.11</v>
      </c>
    </row>
    <row r="325" spans="1:3" x14ac:dyDescent="0.25">
      <c r="A325" s="9" t="s">
        <v>705</v>
      </c>
      <c r="B325" s="9" t="s">
        <v>706</v>
      </c>
      <c r="C325" s="16">
        <f>[1]!QAA_AGG("1,2,SS6,LA,F=KCA,K=DbC,F=A,K=/LA/Ldg,F=CAR001,T=CAR001,K=/LA/AccCde,F=001/2022,T=012/2022,K=/LA/Prd,F=P,T=PINV,K=/LA/JnlTyp,F=&lt;ALL&gt;,K=/LA/Alc,F=&lt;ALL&gt;,T=&lt;ALL&gt;,K=/LA/JnlSrc,F=ARTSCOPE,T=ARTSCOPE,K=/LA/CA/Nme,E=1,O=/LA/BseAmt,XLBVal:6=-922.500",)</f>
        <v>-922.5</v>
      </c>
    </row>
    <row r="326" spans="1:3" x14ac:dyDescent="0.25">
      <c r="A326" s="9" t="s">
        <v>707</v>
      </c>
      <c r="B326" s="9" t="s">
        <v>708</v>
      </c>
      <c r="C326" s="16">
        <f>[1]!QAA_AGG("1,2,SS6,LA,F=KCA,K=DbC,F=A,K=/LA/Ldg,F=CSA120,T=CSA120,K=/LA/AccCde,F=001/2022,T=012/2022,K=/LA/Prd,F=P,T=PINV,K=/LA/JnlTyp,F=&lt;ALL&gt;,K=/LA/Alc,F=&lt;ALL&gt;,T=&lt;ALL&gt;,K=/LA/JnlSrc,F=SAFETECH CONSULTING  TRAINING LTD,T=SAFETECH CONSULTING  TRAINING LTD,K=/LA/CA/Nme"&amp;",E=1,O=/LA/BseAmt,XLBVal:6=-915.000",)</f>
        <v>-915</v>
      </c>
    </row>
    <row r="327" spans="1:3" x14ac:dyDescent="0.25">
      <c r="A327" s="9" t="s">
        <v>709</v>
      </c>
      <c r="B327" s="9" t="s">
        <v>710</v>
      </c>
      <c r="C327" s="16">
        <f>[1]!QAA_AGG("1,2,SS6,LA,F=KCA,K=DbC,F=A,K=/LA/Ldg,F=CDA001,T=CDA001,K=/LA/AccCde,F=001/2022,T=012/2022,K=/LA/Prd,F=P,T=PINV,K=/LA/JnlTyp,F=&lt;ALL&gt;,K=/LA/Alc,F=&lt;ALL&gt;,T=&lt;ALL&gt;,K=/LA/JnlSrc,F=Dara White,T=Dara White,K=/LA/CA/Nme,E=1,O=/LA/BseAmt,XLBVal:6=-913.170",)</f>
        <v>-913.17</v>
      </c>
    </row>
    <row r="328" spans="1:3" x14ac:dyDescent="0.25">
      <c r="A328" s="9" t="s">
        <v>711</v>
      </c>
      <c r="B328" s="9" t="s">
        <v>712</v>
      </c>
      <c r="C328" s="16">
        <f>[1]!QAA_AGG("1,2,SS6,LA,F=KCA,K=DbC,F=A,K=/LA/Ldg,F=CDA108,T=CDA108,K=/LA/AccCde,F=001/2022,T=012/2022,K=/LA/Prd,F=P,T=PINV,K=/LA/JnlTyp,F=&lt;ALL&gt;,K=/LA/Alc,F=&lt;ALL&gt;,T=&lt;ALL&gt;,K=/LA/JnlSrc,F=DAL RIADA TAVERNS,T=DAL RIADA TAVERNS,K=/LA/CA/Nme,E=1,O=/LA/BseAmt,XLBVal:6=-912."&amp;"000",)</f>
        <v>-912</v>
      </c>
    </row>
    <row r="329" spans="1:3" x14ac:dyDescent="0.25">
      <c r="A329" s="9" t="s">
        <v>713</v>
      </c>
      <c r="B329" s="9" t="s">
        <v>113</v>
      </c>
      <c r="C329" s="16">
        <f>[1]!QAA_AGG("1,2,SS6,LA,F=KCA,K=DbC,F=A,K=/LA/Ldg,F=CSU032,T=CSU032,K=/LA/AccCde,F=001/2022,T=012/2022,K=/LA/Prd,F=P,T=PINV,K=/LA/JnlTyp,F=&lt;ALL&gt;,K=/LA/Alc,F=&lt;ALL&gt;,T=&lt;ALL&gt;,K=/LA/JnlSrc,F=SUNAURA DISTRIBUTION LTD,T=SUNAURA DISTRIBUTION LTD,K=/LA/CA/Nme,E=1,O=/LA/BseAmt,"&amp;"XLBVal:6=-878.920",)</f>
        <v>-878.92</v>
      </c>
    </row>
    <row r="330" spans="1:3" x14ac:dyDescent="0.25">
      <c r="A330" s="9" t="s">
        <v>794</v>
      </c>
      <c r="B330" s="9" t="s">
        <v>795</v>
      </c>
      <c r="C330" s="16">
        <f>[1]!QAA_AGG("1,2,SS6,LA,F=KCA,K=DbC,F=A,K=/LA/Ldg,F=CMI009,T=CMI009,K=/LA/AccCde,F=001/2022,T=012/2022,K=/LA/Prd,F=P,T=PINV,K=/LA/JnlTyp,F=&lt;ALL&gt;,K=/LA/Alc,F=&lt;ALL&gt;,T=&lt;ALL&gt;,K=/LA/JnlSrc,F=MICHAEL O'SHEA &amp; SON LTD,T=MICHAEL O'SHEA &amp; SON LTD,K=/LA/CA/Nme,E=1,O=/LA/BseAmt,"&amp;"XLBVal:6=-868.190",)</f>
        <v>-868.19</v>
      </c>
    </row>
    <row r="331" spans="1:3" x14ac:dyDescent="0.25">
      <c r="A331" s="9" t="s">
        <v>716</v>
      </c>
      <c r="B331" s="9" t="s">
        <v>717</v>
      </c>
      <c r="C331" s="16">
        <f>[1]!QAA_AGG("1,2,SS6,LA,F=KCA,K=DbC,F=A,K=/LA/Ldg,F=CWU000,T=CWU000,K=/LA/AccCde,F=001/2022,T=012/2022,K=/LA/Prd,F=P,T=PINV,K=/LA/JnlTyp,F=&lt;ALL&gt;,K=/LA/Alc,F=&lt;ALL&gt;,T=&lt;ALL&gt;,K=/LA/JnlSrc,F=WURTH IRELAND LTD.,T=WURTH IRELAND LTD.,K=/LA/CA/Nme,E=1,O=/LA/BseAmt,XLBVal:6=-86"&amp;"5.600",)</f>
        <v>-865.6</v>
      </c>
    </row>
    <row r="332" spans="1:3" x14ac:dyDescent="0.25">
      <c r="A332" s="9" t="s">
        <v>718</v>
      </c>
      <c r="B332" s="9" t="s">
        <v>719</v>
      </c>
      <c r="C332" s="16">
        <f>[1]!QAA_AGG("1,2,SS6,LA,F=KCA,K=DbC,F=A,K=/LA/Ldg,F=CBA000,T=CBA000,K=/LA/AccCde,F=001/2022,T=012/2022,K=/LA/Prd,F=P,T=PINV,K=/LA/JnlTyp,F=&lt;ALL&gt;,K=/LA/Alc,F=&lt;ALL&gt;,T=&lt;ALL&gt;,K=/LA/JnlSrc,F=WALSH'S HOMEVALUE,T=WALSH'S HOMEVALUE,K=/LA/CA/Nme,E=1,O=/LA/BseAmt,XLBVal:6=-859."&amp;"980",)</f>
        <v>-859.98</v>
      </c>
    </row>
    <row r="333" spans="1:3" x14ac:dyDescent="0.25">
      <c r="A333" s="9" t="s">
        <v>720</v>
      </c>
      <c r="B333" s="9" t="s">
        <v>721</v>
      </c>
      <c r="C333" s="16">
        <f>[1]!QAA_AGG("1,2,SS6,LA,F=KCA,K=DbC,F=A,K=/LA/Ldg,F=CEM023,T=CEM023,K=/LA/AccCde,F=001/2022,T=012/2022,K=/LA/Prd,F=P,T=PINV,K=/LA/JnlTyp,F=&lt;ALL&gt;,K=/LA/Alc,F=&lt;ALL&gt;,T=&lt;ALL&gt;,K=/LA/JnlSrc,F=EMO OIL,T=EMO OIL,K=/LA/CA/Nme,E=1,O=/LA/BseAmt,XLBVal:6=-854.150",)</f>
        <v>-854.15</v>
      </c>
    </row>
    <row r="334" spans="1:3" x14ac:dyDescent="0.25">
      <c r="A334" s="9" t="s">
        <v>722</v>
      </c>
      <c r="B334" s="9" t="s">
        <v>723</v>
      </c>
      <c r="C334" s="16">
        <f>[1]!QAA_AGG("1,2,SS6,LA,F=KCA,K=DbC,F=A,K=/LA/Ldg,F=CBA009,T=CBA009,K=/LA/AccCde,F=001/2022,T=012/2022,K=/LA/Prd,F=P,T=PINV,K=/LA/JnlTyp,F=&lt;ALL&gt;,K=/LA/Alc,F=&lt;ALL&gt;,T=&lt;ALL&gt;,K=/LA/JnlSrc,F=BALLON BUSINESS &amp; TRAINING SERVICE,T=BALLON BUSINESS &amp; TRAINING SERVICE,K=/LA/CA/N"&amp;"me,E=1,O=/LA/BseAmt,XLBVal:6=-850.000",)</f>
        <v>-850</v>
      </c>
    </row>
    <row r="335" spans="1:3" x14ac:dyDescent="0.25">
      <c r="A335" s="9" t="s">
        <v>724</v>
      </c>
      <c r="B335" s="9" t="s">
        <v>725</v>
      </c>
      <c r="C335" s="16">
        <f>[1]!QAA_AGG("1,2,SS6,LA,F=KCA,K=DbC,F=A,K=/LA/Ldg,F=CPS001,T=CPS001,K=/LA/AccCde,F=001/2022,T=012/2022,K=/LA/Prd,F=P,T=PINV,K=/LA/JnlTyp,F=&lt;ALL&gt;,K=/LA/Alc,F=&lt;ALL&gt;,T=&lt;ALL&gt;,K=/LA/JnlSrc,F=PSYCHOMETRIX LTD.,T=PSYCHOMETRIX LTD.,K=/LA/CA/Nme,E=1,O=/LA/BseAmt,XLBVal:6=-850."&amp;"000",)</f>
        <v>-850</v>
      </c>
    </row>
    <row r="336" spans="1:3" x14ac:dyDescent="0.25">
      <c r="A336" s="9" t="s">
        <v>726</v>
      </c>
      <c r="B336" s="9" t="s">
        <v>727</v>
      </c>
      <c r="C336" s="16">
        <f>[1]!QAA_AGG("1,2,SS6,LA,F=KCA,K=DbC,F=A,K=/LA/Ldg,F=CAC009,T=CAC009,K=/LA/AccCde,F=001/2022,T=012/2022,K=/LA/Prd,F=P,T=PINV,K=/LA/JnlTyp,F=&lt;ALL&gt;,K=/LA/Alc,F=&lt;ALL&gt;,T=&lt;ALL&gt;,K=/LA/JnlSrc,F=ACE BOILER SERVICES LTD,T=ACE BOILER SERVICES LTD,K=/LA/CA/Nme,E=1,O=/LA/BseAmt,XL"&amp;"BVal:6=-848.700",)</f>
        <v>-848.7</v>
      </c>
    </row>
    <row r="337" spans="1:3" x14ac:dyDescent="0.25">
      <c r="A337" s="9" t="s">
        <v>728</v>
      </c>
      <c r="B337" s="9" t="s">
        <v>729</v>
      </c>
      <c r="C337" s="16">
        <f>[1]!QAA_AGG("1,2,SS6,LA,F=KCA,K=DbC,F=A,K=/LA/Ldg,F=COU001,T=COU001,K=/LA/AccCde,F=001/2022,T=012/2022,K=/LA/Prd,F=P,T=PINV,K=/LA/JnlTyp,F=&lt;ALL&gt;,K=/LA/Alc,F=&lt;ALL&gt;,T=&lt;ALL&gt;,K=/LA/JnlSrc,F=OUTSIDE THE BOX,T=OUTSIDE THE BOX,K=/LA/CA/Nme,E=1,O=/LA/BseAmt,XLBVal:6=-847.550",)</f>
        <v>-847.55</v>
      </c>
    </row>
    <row r="338" spans="1:3" x14ac:dyDescent="0.25">
      <c r="A338" s="9" t="s">
        <v>730</v>
      </c>
      <c r="B338" s="9" t="s">
        <v>731</v>
      </c>
      <c r="C338" s="16">
        <f>[1]!QAA_AGG("1,2,SS6,LA,F=KCA,K=DbC,F=A,K=/LA/Ldg,F=CSU046,T=CSU046,K=/LA/AccCde,F=001/2022,T=012/2022,K=/LA/Prd,F=P,T=PINV,K=/LA/JnlTyp,F=&lt;ALL&gt;,K=/LA/Alc,F=&lt;ALL&gt;,T=&lt;ALL&gt;,K=/LA/JnlSrc,F=SUPERVALU (CEDARGLADE LTD),T=SUPERVALU (CEDARGLADE LTD),K=/LA/CA/Nme,E=1,O=/LA/Bse"&amp;"Amt,XLBVal:6=-844.130",)</f>
        <v>-844.13</v>
      </c>
    </row>
    <row r="339" spans="1:3" x14ac:dyDescent="0.25">
      <c r="A339" s="9" t="s">
        <v>732</v>
      </c>
      <c r="B339" s="9" t="s">
        <v>733</v>
      </c>
      <c r="C339" s="16">
        <f>[1]!QAA_AGG("1,2,SS6,LA,F=KCA,K=DbC,F=A,K=/LA/Ldg,F=CEH000,T=CEH000,K=/LA/AccCde,F=001/2022,T=012/2022,K=/LA/Prd,F=P,T=PINV,K=/LA/JnlTyp,F=&lt;ALL&gt;,K=/LA/Alc,F=&lt;ALL&gt;,T=&lt;ALL&gt;,K=/LA/JnlSrc,F=EHS ENGINEERING CONTRACTORS,T=EHS ENGINEERING CONTRACTORS,K=/LA/CA/Nme,E=1,O=/LA/B"&amp;"seAmt,XLBVal:6=-827.280",)</f>
        <v>-827.28</v>
      </c>
    </row>
    <row r="340" spans="1:3" x14ac:dyDescent="0.25">
      <c r="A340" s="9" t="s">
        <v>736</v>
      </c>
      <c r="B340" s="9" t="s">
        <v>737</v>
      </c>
      <c r="C340" s="16">
        <f>[1]!QAA_AGG("1,2,SS6,LA,F=KCA,K=DbC,F=A,K=/LA/Ldg,F=CTR048,T=CTR048,K=/LA/AccCde,F=001/2022,T=012/2022,K=/LA/Prd,F=P,T=PINV,K=/LA/JnlTyp,F=&lt;ALL&gt;,K=/LA/Alc,F=&lt;ALL&gt;,T=&lt;ALL&gt;,K=/LA/JnlSrc,F=TRAX MUSIC STORE LTD.,T=TRAX MUSIC STORE LTD.,K=/LA/CA/Nme,E=1,O=/LA/BseAmt,XLBVal"&amp;":6=-820.780",)</f>
        <v>-820.78</v>
      </c>
    </row>
    <row r="341" spans="1:3" x14ac:dyDescent="0.25">
      <c r="A341" s="9" t="s">
        <v>23</v>
      </c>
      <c r="B341" s="9" t="s">
        <v>738</v>
      </c>
      <c r="C341" s="16">
        <f>[1]!QAA_AGG("1,2,SS6,LA,F=KCA,K=DbC,F=A,K=/LA/Ldg,F=CCW000,T=CCW000,K=/LA/AccCde,F=001/2022,T=012/2022,K=/LA/Prd,F=P,T=PINV,K=/LA/JnlTyp,F=&lt;ALL&gt;,K=/LA/Alc,F=&lt;ALL&gt;,T=&lt;ALL&gt;,K=/LA/JnlSrc,F=CWS-BOCO IRELAND LTD,T=CWS-BOCO IRELAND LTD,K=/LA/CA/Nme,E=1,O=/LA/BseAmt,XLBVal:6"&amp;"=-812.070",)</f>
        <v>-812.07</v>
      </c>
    </row>
    <row r="342" spans="1:3" x14ac:dyDescent="0.25">
      <c r="A342" s="9" t="s">
        <v>741</v>
      </c>
      <c r="B342" s="9" t="s">
        <v>742</v>
      </c>
      <c r="C342" s="16">
        <f>[1]!QAA_AGG("1,2,SS6,LA,F=KCA,K=DbC,F=A,K=/LA/Ldg,F=CFR025,T=CFR025,K=/LA/AccCde,F=001/2022,T=012/2022,K=/LA/Prd,F=P,T=PINV,K=/LA/JnlTyp,F=&lt;ALL&gt;,K=/LA/Alc,F=&lt;ALL&gt;,T=&lt;ALL&gt;,K=/LA/JnlSrc,F=ST CANICES COMMUNITY ACTION  LTD,T=ST CANICES COMMUNITY ACTION  LTD,K=/LA/CA/Nme,E"&amp;"=1,O=/LA/BseAmt,XLBVal:6=-810.000",)</f>
        <v>-810</v>
      </c>
    </row>
    <row r="343" spans="1:3" x14ac:dyDescent="0.25">
      <c r="A343" s="9" t="s">
        <v>739</v>
      </c>
      <c r="B343" s="9" t="s">
        <v>740</v>
      </c>
      <c r="C343" s="16">
        <f>[1]!QAA_AGG("1,2,SS6,LA,F=KCA,K=DbC,F=A,K=/LA/Ldg,F=CCA345,T=CCA345,K=/LA/AccCde,F=001/2022,T=012/2022,K=/LA/Prd,F=P,T=PINV,K=/LA/JnlTyp,F=&lt;ALL&gt;,K=/LA/Alc,F=&lt;ALL&gt;,T=&lt;ALL&gt;,K=/LA/JnlSrc,F=CAMEO CINEMA LIMITED,T=CAMEO CINEMA LIMITED,K=/LA/CA/Nme,E=1,O=/LA/BseAmt,XLBVal:6"&amp;"=-810.000",)</f>
        <v>-810</v>
      </c>
    </row>
    <row r="344" spans="1:3" x14ac:dyDescent="0.25">
      <c r="A344" s="9" t="s">
        <v>743</v>
      </c>
      <c r="B344" s="9" t="s">
        <v>744</v>
      </c>
      <c r="C344" s="16">
        <f>[1]!QAA_AGG("1,2,SS6,LA,F=KCA,K=DbC,F=A,K=/LA/Ldg,F=CPU004,T=CPU004,K=/LA/AccCde,F=001/2022,T=012/2022,K=/LA/Prd,F=P,T=PINV,K=/LA/JnlTyp,F=&lt;ALL&gt;,K=/LA/Alc,F=&lt;ALL&gt;,T=&lt;ALL&gt;,K=/LA/JnlSrc,F=PURE ADVENTURE,T=PURE ADVENTURE,K=/LA/CA/Nme,E=1,O=/LA/BseAmt,XLBVal:6=-810.000",)</f>
        <v>-810</v>
      </c>
    </row>
    <row r="345" spans="1:3" x14ac:dyDescent="0.25">
      <c r="A345" s="9" t="s">
        <v>745</v>
      </c>
      <c r="B345" s="9" t="s">
        <v>746</v>
      </c>
      <c r="C345" s="16">
        <f>[1]!QAA_AGG("1,2,SS6,LA,F=KCA,K=DbC,F=A,K=/LA/Ldg,F=CFE001,T=CFE001,K=/LA/AccCde,F=001/2022,T=012/2022,K=/LA/Prd,F=P,T=PINV,K=/LA/JnlTyp,F=&lt;ALL&gt;,K=/LA/Alc,F=&lt;ALL&gt;,T=&lt;ALL&gt;,K=/LA/JnlSrc,F=FERMAN HEALTH &amp; SAFETY LTD,T=FERMAN HEALTH &amp; SAFETY LTD,K=/LA/CA/Nme,E=1,O=/LA/Bse"&amp;"Amt,XLBVal:6=-806.960",)</f>
        <v>-806.96</v>
      </c>
    </row>
    <row r="346" spans="1:3" x14ac:dyDescent="0.25">
      <c r="A346" s="9" t="s">
        <v>747</v>
      </c>
      <c r="B346" s="9" t="s">
        <v>85</v>
      </c>
      <c r="C346" s="16">
        <f>[1]!QAA_AGG("1,2,SS6,LA,F=KCA,K=DbC,F=A,K=/LA/Ldg,F=CFI016,T=CFI016,K=/LA/AccCde,F=001/2022,T=012/2022,K=/LA/Prd,F=P,T=PINV,K=/LA/JnlTyp,F=&lt;ALL&gt;,K=/LA/Alc,F=&lt;ALL&gt;,T=&lt;ALL&gt;,K=/LA/JnlSrc,F=FIRST AID SUPPLIES,T=FIRST AID SUPPLIES,K=/LA/CA/Nme,E=1,O=/LA/BseAmt,XLBVal:6=-80"&amp;"6.280",)</f>
        <v>-806.28</v>
      </c>
    </row>
    <row r="347" spans="1:3" x14ac:dyDescent="0.25">
      <c r="A347" s="9" t="s">
        <v>750</v>
      </c>
      <c r="B347" s="9" t="s">
        <v>751</v>
      </c>
      <c r="C347" s="16">
        <f>[1]!QAA_AGG("1,2,SS6,LA,F=KCA,K=DbC,F=A,K=/LA/Ldg,F=CMA385,T=CMA385,K=/LA/AccCde,F=001/2022,T=012/2022,K=/LA/Prd,F=P,T=PINV,K=/LA/JnlTyp,F=&lt;ALL&gt;,K=/LA/Alc,F=&lt;ALL&gt;,T=&lt;ALL&gt;,K=/LA/JnlSrc,F=MARGARET BOWEN,T=MARGARET BOWEN,K=/LA/CA/Nme,E=1,O=/LA/BseAmt,XLBVal:6=-800.000",)</f>
        <v>-800</v>
      </c>
    </row>
    <row r="348" spans="1:3" x14ac:dyDescent="0.25">
      <c r="A348" s="9" t="s">
        <v>714</v>
      </c>
      <c r="B348" s="9" t="s">
        <v>715</v>
      </c>
      <c r="C348" s="16">
        <f>[1]!QAA_AGG("1,2,SS6,LA,F=KCA,K=DbC,F=A,K=/LA/Ldg,F=CBE020,T=CBE020,K=/LA/AccCde,F=001/2022,T=012/2022,K=/LA/Prd,F=P,T=PINV,K=/LA/JnlTyp,F=&lt;ALL&gt;,K=/LA/Alc,F=&lt;ALL&gt;,T=&lt;ALL&gt;,K=/LA/JnlSrc,F=SALLY SALON SERVICES LTD,T=SALLY SALON SERVICES LTD,K=/LA/CA/Nme,E=1,O=/LA/BseAmt,"&amp;"XLBVal:6=-797.790",)</f>
        <v>-797.79</v>
      </c>
    </row>
    <row r="349" spans="1:3" x14ac:dyDescent="0.25">
      <c r="A349" s="9" t="s">
        <v>106</v>
      </c>
      <c r="B349" s="9" t="s">
        <v>752</v>
      </c>
      <c r="C349" s="16">
        <f>[1]!QAA_AGG("1,2,SS6,LA,F=KCA,K=DbC,F=A,K=/LA/Ldg,F=CMY005,T=CMY005,K=/LA/AccCde,F=001/2022,T=012/2022,K=/LA/Prd,F=P,T=PINV,K=/LA/JnlTyp,F=&lt;ALL&gt;,K=/LA/Alc,F=&lt;ALL&gt;,T=&lt;ALL&gt;,K=/LA/JnlSrc,F=My Greenhouse,T=My Greenhouse,K=/LA/CA/Nme,E=1,O=/LA/BseAmt,XLBVal:6=-788.050",)</f>
        <v>-788.05</v>
      </c>
    </row>
    <row r="350" spans="1:3" x14ac:dyDescent="0.25">
      <c r="A350" s="9" t="s">
        <v>753</v>
      </c>
      <c r="B350" s="9" t="s">
        <v>754</v>
      </c>
      <c r="C350" s="16">
        <f>[1]!QAA_AGG("1,2,SS6,LA,F=KCA,K=DbC,F=A,K=/LA/Ldg,F=CDO049,T=CDO049,K=/LA/AccCde,F=001/2022,T=012/2022,K=/LA/Prd,F=P,T=PINV,K=/LA/JnlTyp,F=&lt;ALL&gt;,K=/LA/Alc,F=&lt;ALL&gt;,T=&lt;ALL&gt;,K=/LA/JnlSrc,F=DORAN SUPERMARKETS LTD,T=DORAN SUPERMARKETS LTD,K=/LA/CA/Nme,E=1,O=/LA/BseAmt,XLBV"&amp;"al:6=-785.880",)</f>
        <v>-785.88</v>
      </c>
    </row>
    <row r="351" spans="1:3" x14ac:dyDescent="0.25">
      <c r="A351" s="9" t="s">
        <v>734</v>
      </c>
      <c r="B351" s="9" t="s">
        <v>735</v>
      </c>
      <c r="C351" s="16">
        <f>[1]!QAA_AGG("1,2,SS6,LA,F=KCA,K=DbC,F=A,K=/LA/Ldg,F=CVA000,T=CVA000,K=/LA/AccCde,F=001/2022,T=012/2022,K=/LA/Prd,F=P,T=PINV,K=/LA/JnlTyp,F=&lt;ALL&gt;,K=/LA/Alc,F=&lt;ALL&gt;,T=&lt;ALL&gt;,K=/LA/JnlSrc,F=VALUE CENTRE,T=VALUE CENTRE,K=/LA/CA/Nme,E=1,O=/LA/BseAmt,XLBVal:6=-782.400",)</f>
        <v>-782.4</v>
      </c>
    </row>
    <row r="352" spans="1:3" x14ac:dyDescent="0.25">
      <c r="A352" s="9" t="s">
        <v>87</v>
      </c>
      <c r="B352" s="9" t="s">
        <v>86</v>
      </c>
      <c r="C352" s="16">
        <f>[1]!QAA_AGG("1,2,SS6,LA,F=KCA,K=DbC,F=A,K=/LA/Ldg,F=CFI072,T=CFI072,K=/LA/AccCde,F=001/2022,T=012/2022,K=/LA/Prd,F=P,T=PINV,K=/LA/JnlTyp,F=&lt;ALL&gt;,K=/LA/Alc,F=&lt;ALL&gt;,T=&lt;ALL&gt;,K=/LA/JnlSrc,F=FIRST AID COACHING,T=FIRST AID COACHING,K=/LA/CA/Nme,E=1,O=/LA/BseAmt,XLBVal:6=-78"&amp;"0.000",)</f>
        <v>-780</v>
      </c>
    </row>
    <row r="353" spans="1:3" x14ac:dyDescent="0.25">
      <c r="A353" s="9" t="s">
        <v>755</v>
      </c>
      <c r="B353" s="9" t="s">
        <v>756</v>
      </c>
      <c r="C353" s="16">
        <f>[1]!QAA_AGG("1,2,SS6,LA,F=KCA,K=DbC,F=A,K=/LA/Ldg,F=CGR029,T=CGR029,K=/LA/AccCde,F=001/2022,T=012/2022,K=/LA/Prd,F=P,T=PINV,K=/LA/JnlTyp,F=&lt;ALL&gt;,K=/LA/Alc,F=&lt;ALL&gt;,T=&lt;ALL&gt;,K=/LA/JnlSrc,F=GRAIGNAMANAGH ABBEY HALL,T=GRAIGNAMANAGH ABBEY HALL,K=/LA/CA/Nme,E=1,O=/LA/BseAmt,"&amp;"XLBVal:6=-780.000",)</f>
        <v>-780</v>
      </c>
    </row>
    <row r="354" spans="1:3" x14ac:dyDescent="0.25">
      <c r="A354" s="9" t="s">
        <v>757</v>
      </c>
      <c r="B354" s="9" t="s">
        <v>758</v>
      </c>
      <c r="C354" s="16">
        <f>[1]!QAA_AGG("1,2,SS6,LA,F=KCA,K=DbC,F=A,K=/LA/Ldg,F=CPR026,T=CPR026,K=/LA/AccCde,F=001/2022,T=012/2022,K=/LA/Prd,F=P,T=PINV,K=/LA/JnlTyp,F=&lt;ALL&gt;,K=/LA/Alc,F=&lt;ALL&gt;,T=&lt;ALL&gt;,K=/LA/JnlSrc,F=BEAMISH MARKETING T/A PRECISION BADGES,T=BEAMISH MARKETING T/A PRECISION BADGES,K="&amp;"/LA/CA/Nme,E=1,O=/LA/BseAmt,XLBVal:6=-775.290",)</f>
        <v>-775.29</v>
      </c>
    </row>
    <row r="355" spans="1:3" x14ac:dyDescent="0.25">
      <c r="A355" s="9" t="s">
        <v>759</v>
      </c>
      <c r="B355" s="9" t="s">
        <v>760</v>
      </c>
      <c r="C355" s="16">
        <f>[1]!QAA_AGG("1,2,SS6,LA,F=KCA,K=DbC,F=A,K=/LA/Ldg,F=CAE004,T=CAE004,K=/LA/AccCde,F=001/2022,T=012/2022,K=/LA/Prd,F=P,T=PINV,K=/LA/JnlTyp,F=&lt;ALL&gt;,K=/LA/Alc,F=&lt;ALL&gt;,T=&lt;ALL&gt;,K=/LA/JnlSrc,F=AES,T=AES,K=/LA/CA/Nme,E=1,O=/LA/BseAmt,XLBVal:6=-773.500",)</f>
        <v>-773.5</v>
      </c>
    </row>
    <row r="356" spans="1:3" x14ac:dyDescent="0.25">
      <c r="A356" s="9" t="s">
        <v>748</v>
      </c>
      <c r="B356" s="9" t="s">
        <v>749</v>
      </c>
      <c r="C356" s="16">
        <f>[1]!QAA_AGG("1,2,SS6,LA,F=KCA,K=DbC,F=A,K=/LA/Ldg,F=CKI115,T=CKI115,K=/LA/AccCde,F=001/2022,T=012/2022,K=/LA/Prd,F=P,T=PINV,K=/LA/JnlTyp,F=&lt;ALL&gt;,K=/LA/Alc,F=&lt;ALL&gt;,T=&lt;ALL&gt;,K=/LA/JnlSrc,F=KISH FISH,T=KISH FISH,K=/LA/CA/Nme,E=1,O=/LA/BseAmt,XLBVal:6=-759.680",)</f>
        <v>-759.68</v>
      </c>
    </row>
    <row r="357" spans="1:3" x14ac:dyDescent="0.25">
      <c r="A357" s="9" t="s">
        <v>764</v>
      </c>
      <c r="B357" s="9" t="s">
        <v>765</v>
      </c>
      <c r="C357" s="16">
        <f>[1]!QAA_AGG("1,2,SS6,LA,F=KCA,K=DbC,F=A,K=/LA/Ldg,F=CLI103,T=CLI103,K=/LA/AccCde,F=001/2022,T=012/2022,K=/LA/Prd,F=P,T=PINV,K=/LA/JnlTyp,F=&lt;ALL&gt;,K=/LA/Alc,F=&lt;ALL&gt;,T=&lt;ALL&gt;,K=/LA/JnlSrc,F=LIGHTHOUSE LEARNING LIMITED T/A STUDYCLIX.IE,T=LIGHTHOUSE LEARNING LIMITED T/A STU"&amp;"DYCLIX.IE,K=/LA/CA/Nme,E=1,O=/LA/BseAmt,XLBVal:6=-750.000",)</f>
        <v>-750</v>
      </c>
    </row>
    <row r="358" spans="1:3" x14ac:dyDescent="0.25">
      <c r="A358" s="9" t="s">
        <v>76</v>
      </c>
      <c r="B358" s="9" t="s">
        <v>763</v>
      </c>
      <c r="C358" s="16">
        <f>[1]!QAA_AGG("1,2,SS6,LA,F=KCA,K=DbC,F=A,K=/LA/Ldg,F=CHA043,T=CHA043,K=/LA/AccCde,F=001/2022,T=012/2022,K=/LA/Prd,F=P,T=PINV,K=/LA/JnlTyp,F=&lt;ALL&gt;,K=/LA/Alc,F=&lt;ALL&gt;,T=&lt;ALL&gt;,K=/LA/JnlSrc,F=HANNAGH FLEW/ALPHA BOUTIQUE,T=HANNAGH FLEW/ALPHA BOUTIQUE,K=/LA/CA/Nme,E=1,O=/LA/B"&amp;"seAmt,XLBVal:6=-750.000",)</f>
        <v>-750</v>
      </c>
    </row>
    <row r="359" spans="1:3" x14ac:dyDescent="0.25">
      <c r="A359" s="9" t="s">
        <v>58</v>
      </c>
      <c r="B359" s="9" t="s">
        <v>766</v>
      </c>
      <c r="C359" s="16">
        <f>[1]!QAA_AGG("1,2,SS6,LA,F=KCA,K=DbC,F=A,K=/LA/Ldg,F=CCA205,T=CCA205,K=/LA/AccCde,F=001/2022,T=012/2022,K=/LA/Prd,F=P,T=PINV,K=/LA/JnlTyp,F=&lt;ALL&gt;,K=/LA/Alc,F=&lt;ALL&gt;,T=&lt;ALL&gt;,K=/LA/JnlSrc,F=CASTLECOMER ENTERPRISE CENTRE,T=CASTLECOMER ENTERPRISE CENTRE,K=/LA/CA/Nme,E=1,O=/"&amp;"LA/BseAmt,XLBVal:6=-750.000",)</f>
        <v>-750</v>
      </c>
    </row>
    <row r="360" spans="1:3" x14ac:dyDescent="0.25">
      <c r="A360" s="9" t="s">
        <v>767</v>
      </c>
      <c r="B360" s="9" t="s">
        <v>735</v>
      </c>
      <c r="C360" s="16">
        <f>[1]!QAA_AGG("1,2,SS6,LA,F=KCA,K=DbC,F=A,K=/LA/Ldg,F=CVA025,T=CVA025,K=/LA/AccCde,F=001/2022,T=012/2022,K=/LA/Prd,F=P,T=PINV,K=/LA/JnlTyp,F=&lt;ALL&gt;,K=/LA/Alc,F=&lt;ALL&gt;,T=&lt;ALL&gt;,K=/LA/JnlSrc,F=VALUE CENTRE,T=VALUE CENTRE,K=/LA/CA/Nme,E=1,O=/LA/BseAmt,XLBVal:6=-749.290",)</f>
        <v>-749.29</v>
      </c>
    </row>
    <row r="361" spans="1:3" x14ac:dyDescent="0.25">
      <c r="A361" s="9" t="s">
        <v>768</v>
      </c>
      <c r="B361" s="9" t="s">
        <v>769</v>
      </c>
      <c r="C361" s="16">
        <f>[1]!QAA_AGG("1,2,SS6,LA,F=KCA,K=DbC,F=A,K=/LA/Ldg,F=CAI060,T=CAI060,K=/LA/AccCde,F=001/2022,T=012/2022,K=/LA/Prd,F=P,T=PINV,K=/LA/JnlTyp,F=&lt;ALL&gt;,K=/LA/Alc,F=&lt;ALL&gt;,T=&lt;ALL&gt;,K=/LA/JnlSrc,F=AIDAN CROMIE,T=AIDAN CROMIE,K=/LA/CA/Nme,E=1,O=/LA/BseAmt,XLBVal:6=-746.830",)</f>
        <v>-746.83</v>
      </c>
    </row>
    <row r="362" spans="1:3" x14ac:dyDescent="0.25">
      <c r="A362" s="9" t="s">
        <v>770</v>
      </c>
      <c r="B362" s="9" t="s">
        <v>771</v>
      </c>
      <c r="C362" s="16">
        <f>[1]!QAA_AGG("1,2,SS6,LA,F=KCA,K=DbC,F=A,K=/LA/Ldg,F=CVI025,T=CVI025,K=/LA/AccCde,F=001/2022,T=012/2022,K=/LA/Prd,F=P,T=PINV,K=/LA/JnlTyp,F=&lt;ALL&gt;,K=/LA/Alc,F=&lt;ALL&gt;,T=&lt;ALL&gt;,K=/LA/JnlSrc,F=VIRGIN MEDIA IRELAND LTD,T=VIRGIN MEDIA IRELAND LTD,K=/LA/CA/Nme,E=1,O=/LA/BseAmt,"&amp;"XLBVal:6=-742.000",)</f>
        <v>-742</v>
      </c>
    </row>
    <row r="363" spans="1:3" x14ac:dyDescent="0.25">
      <c r="A363" s="9" t="s">
        <v>772</v>
      </c>
      <c r="B363" s="9" t="s">
        <v>773</v>
      </c>
      <c r="C363" s="16">
        <f>[1]!QAA_AGG("1,2,SS6,LA,F=KCA,K=DbC,F=A,K=/LA/Ldg,F=CAI044,T=CAI044,K=/LA/AccCde,F=001/2022,T=012/2022,K=/LA/Prd,F=P,T=PINV,K=/LA/JnlTyp,F=&lt;ALL&gt;,K=/LA/Alc,F=&lt;ALL&gt;,T=&lt;ALL&gt;,K=/LA/JnlSrc,F=AIRBASE MAKEUP,T=AIRBASE MAKEUP,K=/LA/CA/Nme,E=1,O=/LA/BseAmt,XLBVal:6=-738.000",)</f>
        <v>-738</v>
      </c>
    </row>
    <row r="364" spans="1:3" x14ac:dyDescent="0.25">
      <c r="A364" s="9" t="s">
        <v>774</v>
      </c>
      <c r="B364" s="9" t="s">
        <v>775</v>
      </c>
      <c r="C364" s="16">
        <f>[1]!QAA_AGG("1,2,SS6,LA,F=KCA,K=DbC,F=A,K=/LA/Ldg,F=CSI036,T=CSI036,K=/LA/AccCde,F=001/2022,T=012/2022,K=/LA/Prd,F=P,T=PINV,K=/LA/JnlTyp,F=&lt;ALL&gt;,K=/LA/Alc,F=&lt;ALL&gt;,T=&lt;ALL&gt;,K=/LA/JnlSrc,F=SIGNIATEC LTD,T=SIGNIATEC LTD,K=/LA/CA/Nme,E=1,O=/LA/BseAmt,XLBVal:6=-732.080",)</f>
        <v>-732.08</v>
      </c>
    </row>
    <row r="365" spans="1:3" x14ac:dyDescent="0.25">
      <c r="A365" s="9" t="s">
        <v>1306</v>
      </c>
      <c r="B365" s="9" t="s">
        <v>1307</v>
      </c>
      <c r="C365" s="16">
        <f>[1]!QAA_AGG("1,2,SS6,LA,F=KCA,K=DbC,F=A,K=/LA/Ldg,F=CMI102,T=CMI102,K=/LA/AccCde,F=001/2022,T=012/2022,K=/LA/Prd,F=P,T=PINV,K=/LA/JnlTyp,F=&lt;ALL&gt;,K=/LA/Alc,F=&lt;ALL&gt;,T=&lt;ALL&gt;,K=/LA/JnlSrc,F=MILL FAMILY RESOURCE CENTRE,T=MILL FAMILY RESOURCE CENTRE,K=/LA/CA/Nme,E=1,O=/LA/B"&amp;"seAmt,XLBVal:6=-728.600",)</f>
        <v>-728.6</v>
      </c>
    </row>
    <row r="366" spans="1:3" x14ac:dyDescent="0.25">
      <c r="A366" s="9" t="s">
        <v>776</v>
      </c>
      <c r="B366" s="9" t="s">
        <v>777</v>
      </c>
      <c r="C366" s="16">
        <f>[1]!QAA_AGG("1,2,SS6,LA,F=KCA,K=DbC,F=A,K=/LA/Ldg,F=CAR023,T=CAR023,K=/LA/AccCde,F=001/2022,T=012/2022,K=/LA/Prd,F=P,T=PINV,K=/LA/JnlTyp,F=&lt;ALL&gt;,K=/LA/Alc,F=&lt;ALL&gt;,T=&lt;ALL&gt;,K=/LA/JnlSrc,F=ARD EDUCATION LTD,T=ARD EDUCATION LTD,K=/LA/CA/Nme,E=1,O=/LA/BseAmt,XLBVal:6=-726."&amp;"000",)</f>
        <v>-726</v>
      </c>
    </row>
    <row r="367" spans="1:3" x14ac:dyDescent="0.25">
      <c r="A367" s="9" t="s">
        <v>761</v>
      </c>
      <c r="B367" s="9" t="s">
        <v>762</v>
      </c>
      <c r="C367" s="16">
        <f>[1]!QAA_AGG("1,2,SS6,LA,F=KCA,K=DbC,F=A,K=/LA/Ldg,F=CNA073,T=CNA073,K=/LA/AccCde,F=001/2022,T=012/2022,K=/LA/Prd,F=P,T=PINV,K=/LA/JnlTyp,F=&lt;ALL&gt;,K=/LA/Alc,F=&lt;ALL&gt;,T=&lt;ALL&gt;,K=/LA/JnlSrc,F=NATIONAL REPTILE ZOO KILKENNY LTD,T=NATIONAL REPTILE ZOO KILKENNY LTD,K=/LA/CA/Nme"&amp;",E=1,O=/LA/BseAmt,XLBVal:6=-722.400",)</f>
        <v>-722.4</v>
      </c>
    </row>
    <row r="368" spans="1:3" x14ac:dyDescent="0.25">
      <c r="A368" s="9" t="s">
        <v>780</v>
      </c>
      <c r="B368" s="9" t="s">
        <v>781</v>
      </c>
      <c r="C368" s="16">
        <f>[1]!QAA_AGG("1,2,SS6,LA,F=KCA,K=DbC,F=A,K=/LA/Ldg,F=CEM021,T=CEM021,K=/LA/AccCde,F=001/2022,T=012/2022,K=/LA/Prd,F=P,T=PINV,K=/LA/JnlTyp,F=&lt;ALL&gt;,K=/LA/Alc,F=&lt;ALL&gt;,T=&lt;ALL&gt;,K=/LA/JnlSrc,F=EMBER FIRE AND SAFETY LTD,T=EMBER FIRE AND SAFETY LTD,K=/LA/CA/Nme,E=1,O=/LA/BseAm"&amp;"t,XLBVal:6=-720.160",)</f>
        <v>-720.16</v>
      </c>
    </row>
    <row r="369" spans="1:3" x14ac:dyDescent="0.25">
      <c r="A369" s="9" t="s">
        <v>782</v>
      </c>
      <c r="B369" s="9" t="s">
        <v>783</v>
      </c>
      <c r="C369" s="16">
        <f>[1]!QAA_AGG("1,2,SS6,LA,F=KCA,K=DbC,F=A,K=/LA/Ldg,F=CAN016,T=CAN016,K=/LA/AccCde,F=001/2022,T=012/2022,K=/LA/Prd,F=P,T=PINV,K=/LA/JnlTyp,F=&lt;ALL&gt;,K=/LA/Alc,F=&lt;ALL&gt;,T=&lt;ALL&gt;,K=/LA/JnlSrc,F=AN POST LICENCE SERVICES,T=AN POST LICENCE SERVICES,K=/LA/CA/Nme,E=1,O=/LA/BseAmt,"&amp;"XLBVal:6=-720.000",)</f>
        <v>-720</v>
      </c>
    </row>
    <row r="370" spans="1:3" x14ac:dyDescent="0.25">
      <c r="A370" s="9" t="s">
        <v>786</v>
      </c>
      <c r="B370" s="9" t="s">
        <v>787</v>
      </c>
      <c r="C370" s="16">
        <f>[1]!QAA_AGG("1,2,SS6,LA,F=KCA,K=DbC,F=A,K=/LA/Ldg,F=CCA022,T=CCA022,K=/LA/AccCde,F=001/2022,T=012/2022,K=/LA/Prd,F=P,T=PINV,K=/LA/JnlTyp,F=&lt;ALL&gt;,K=/LA/Alc,F=&lt;ALL&gt;,T=&lt;ALL&gt;,K=/LA/JnlSrc,F=CARLOW CO COUNCIL,T=CARLOW CO COUNCIL,K=/LA/CA/Nme,E=1,O=/LA/BseAmt,XLBVal:6=-718."&amp;"640",)</f>
        <v>-718.64</v>
      </c>
    </row>
    <row r="371" spans="1:3" x14ac:dyDescent="0.25">
      <c r="A371" s="9" t="s">
        <v>788</v>
      </c>
      <c r="B371" s="9" t="s">
        <v>789</v>
      </c>
      <c r="C371" s="16">
        <f>[1]!QAA_AGG("1,2,SS6,LA,F=KCA,K=DbC,F=A,K=/LA/Ldg,F=CSH010,T=CSH010,K=/LA/AccCde,F=001/2022,T=012/2022,K=/LA/Prd,F=P,T=PINV,K=/LA/JnlTyp,F=&lt;ALL&gt;,K=/LA/Alc,F=&lt;ALL&gt;,T=&lt;ALL&gt;,K=/LA/JnlSrc,F=Shona Ainsley,T=Shona Ainsley,K=/LA/CA/Nme,E=1,O=/LA/BseAmt,XLBVal:6=-712.590",)</f>
        <v>-712.59</v>
      </c>
    </row>
    <row r="372" spans="1:3" x14ac:dyDescent="0.25">
      <c r="A372" s="9" t="s">
        <v>792</v>
      </c>
      <c r="B372" s="9" t="s">
        <v>793</v>
      </c>
      <c r="C372" s="16">
        <f>[1]!QAA_AGG("1,2,SS6,LA,F=KCA,K=DbC,F=A,K=/LA/Ldg,F=CHA021,T=CHA021,K=/LA/AccCde,F=001/2022,T=012/2022,K=/LA/Prd,F=P,T=PINV,K=/LA/JnlTyp,F=&lt;ALL&gt;,K=/LA/Alc,F=&lt;ALL&gt;,T=&lt;ALL&gt;,K=/LA/JnlSrc,F=HALL ALARMS LTD,T=HALL ALARMS LTD,K=/LA/CA/Nme,E=1,O=/LA/BseAmt,XLBVal:6=-697.440",)</f>
        <v>-697.44</v>
      </c>
    </row>
    <row r="373" spans="1:3" x14ac:dyDescent="0.25">
      <c r="A373" s="9" t="s">
        <v>778</v>
      </c>
      <c r="B373" s="9" t="s">
        <v>779</v>
      </c>
      <c r="C373" s="16">
        <f>[1]!QAA_AGG("1,2,SS6,LA,F=KCA,K=DbC,F=A,K=/LA/Ldg,F=CCL045,T=CCL045,K=/LA/AccCde,F=001/2022,T=012/2022,K=/LA/Prd,F=P,T=PINV,K=/LA/JnlTyp,F=&lt;ALL&gt;,K=/LA/Alc,F=&lt;ALL&gt;,T=&lt;ALL&gt;,K=/LA/JnlSrc,F=CLUBHOUSE HOTEL,T=CLUBHOUSE HOTEL,K=/LA/CA/Nme,E=1,O=/LA/BseAmt,XLBVal:6=-682.500",)</f>
        <v>-682.5</v>
      </c>
    </row>
    <row r="374" spans="1:3" x14ac:dyDescent="0.25">
      <c r="A374" s="9" t="s">
        <v>796</v>
      </c>
      <c r="B374" s="9" t="s">
        <v>797</v>
      </c>
      <c r="C374" s="16">
        <f>[1]!QAA_AGG("1,2,SS6,LA,F=KCA,K=DbC,F=A,K=/LA/Ldg,F=CJU029,T=CJU029,K=/LA/AccCde,F=001/2022,T=012/2022,K=/LA/Prd,F=P,T=PINV,K=/LA/JnlTyp,F=&lt;ALL&gt;,K=/LA/Alc,F=&lt;ALL&gt;,T=&lt;ALL&gt;,K=/LA/JnlSrc,F=JUMP ZONE LV LTD,T=JUMP ZONE LV LTD,K=/LA/CA/Nme,E=1,O=/LA/BseAmt,XLBVal:6=-680.00"&amp;"0",)</f>
        <v>-680</v>
      </c>
    </row>
    <row r="375" spans="1:3" x14ac:dyDescent="0.25">
      <c r="A375" s="9" t="s">
        <v>784</v>
      </c>
      <c r="B375" s="9" t="s">
        <v>785</v>
      </c>
      <c r="C375" s="16">
        <f>[1]!QAA_AGG("1,2,SS6,LA,F=KCA,K=DbC,F=A,K=/LA/Ldg,F=CJO021,T=CJO021,K=/LA/AccCde,F=001/2022,T=012/2022,K=/LA/Prd,F=P,T=PINV,K=/LA/JnlTyp,F=&lt;ALL&gt;,K=/LA/Alc,F=&lt;ALL&gt;,T=&lt;ALL&gt;,K=/LA/JnlSrc,F=JOE MCKENNA LIMERICK LTD,T=JOE MCKENNA LIMERICK LTD,K=/LA/CA/Nme,E=1,O=/LA/BseAmt,"&amp;"XLBVal:6=-679.160",)</f>
        <v>-679.16</v>
      </c>
    </row>
    <row r="376" spans="1:3" x14ac:dyDescent="0.25">
      <c r="A376" s="9" t="s">
        <v>798</v>
      </c>
      <c r="B376" s="9" t="s">
        <v>799</v>
      </c>
      <c r="C376" s="16">
        <f>[1]!QAA_AGG("1,2,SS6,LA,F=KCA,K=DbC,F=A,K=/LA/Ldg,F=CAI000,T=CAI000,K=/LA/AccCde,F=001/2022,T=012/2022,K=/LA/Prd,F=P,T=PINV,K=/LA/JnlTyp,F=&lt;ALL&gt;,K=/LA/Alc,F=&lt;ALL&gt;,T=&lt;ALL&gt;,K=/LA/JnlSrc,F=AIR PRODUCTS IRELAND LTD,T=AIR PRODUCTS IRELAND LTD,K=/LA/CA/Nme,E=1,O=/LA/BseAmt,"&amp;"XLBVal:6=-677.110",)</f>
        <v>-677.11</v>
      </c>
    </row>
    <row r="377" spans="1:3" x14ac:dyDescent="0.25">
      <c r="A377" s="9" t="s">
        <v>800</v>
      </c>
      <c r="B377" s="9" t="s">
        <v>801</v>
      </c>
      <c r="C377" s="16">
        <f>[1]!QAA_AGG("1,2,SS6,LA,F=KCA,K=DbC,F=A,K=/LA/Ldg,F=CTK000,T=CTK000,K=/LA/AccCde,F=001/2022,T=012/2022,K=/LA/Prd,F=P,T=PINV,K=/LA/JnlTyp,F=&lt;ALL&gt;,K=/LA/Alc,F=&lt;ALL&gt;,T=&lt;ALL&gt;,K=/LA/JnlSrc,F=TK COURIERS LTD,T=TK COURIERS LTD,K=/LA/CA/Nme,E=1,O=/LA/BseAmt,XLBVal:6=-676.500",)</f>
        <v>-676.5</v>
      </c>
    </row>
    <row r="378" spans="1:3" x14ac:dyDescent="0.25">
      <c r="A378" s="9" t="s">
        <v>802</v>
      </c>
      <c r="B378" s="9" t="s">
        <v>803</v>
      </c>
      <c r="C378" s="16">
        <f>[1]!QAA_AGG("1,2,SS6,LA,F=KCA,K=DbC,F=A,K=/LA/Ldg,F=CJE016,T=CJE016,K=/LA/AccCde,F=001/2022,T=012/2022,K=/LA/Prd,F=P,T=PINV,K=/LA/JnlTyp,F=&lt;ALL&gt;,K=/LA/Alc,F=&lt;ALL&gt;,T=&lt;ALL&gt;,K=/LA/JnlSrc,F=JERPOINT SHAVINGS,T=JERPOINT SHAVINGS,K=/LA/CA/Nme,E=1,O=/LA/BseAmt,XLBVal:6=-672."&amp;"000",)</f>
        <v>-672</v>
      </c>
    </row>
    <row r="379" spans="1:3" x14ac:dyDescent="0.25">
      <c r="A379" s="9" t="s">
        <v>104</v>
      </c>
      <c r="B379" s="9" t="s">
        <v>804</v>
      </c>
      <c r="C379" s="16">
        <f>[1]!QAA_AGG("1,2,SS6,LA,F=KCA,K=DbC,F=A,K=/LA/Ldg,F=CNE013,T=CNE013,K=/LA/AccCde,F=001/2022,T=012/2022,K=/LA/Prd,F=P,T=PINV,K=/LA/JnlTyp,F=&lt;ALL&gt;,K=/LA/Alc,F=&lt;ALL&gt;,T=&lt;ALL&gt;,K=/LA/JnlSrc,F=NEOPOST IRELAND SERVICES LTD (QAUDIENT FINANCE ),T=NEOPOST IRELAND SERVICES LTD (Q"&amp;"AUDIENT FINANCE ),K=/LA/CA/Nme,E=1,O=/LA/BseAmt,XLBVal:6=-670.330",)</f>
        <v>-670.33</v>
      </c>
    </row>
    <row r="380" spans="1:3" x14ac:dyDescent="0.25">
      <c r="A380" s="9" t="s">
        <v>805</v>
      </c>
      <c r="B380" s="9" t="s">
        <v>806</v>
      </c>
      <c r="C380" s="16">
        <f>[1]!QAA_AGG("1,2,SS6,LA,F=KCA,K=DbC,F=A,K=/LA/Ldg,F=CSH001,T=CSH001,K=/LA/AccCde,F=001/2022,T=012/2022,K=/LA/Prd,F=P,T=PINV,K=/LA/JnlTyp,F=&lt;ALL&gt;,K=/LA/Alc,F=&lt;ALL&gt;,T=&lt;ALL&gt;,K=/LA/JnlSrc,F=SHAW SCIENTIFIC &amp; CHEMICAL SUPPLIES LTD,T=SHAW SCIENTIFIC &amp; CHEMICAL SUPPLIES LTD,"&amp;"K=/LA/CA/Nme,E=1,O=/LA/BseAmt,XLBVal:6=-669.860",)</f>
        <v>-669.86</v>
      </c>
    </row>
    <row r="381" spans="1:3" x14ac:dyDescent="0.25">
      <c r="A381" s="9" t="s">
        <v>807</v>
      </c>
      <c r="B381" s="9" t="s">
        <v>808</v>
      </c>
      <c r="C381" s="16">
        <f>[1]!QAA_AGG("1,2,SS6,LA,F=KCA,K=DbC,F=A,K=/LA/Ldg,F=CCA326,T=CCA326,K=/LA/AccCde,F=001/2022,T=012/2022,K=/LA/Prd,F=P,T=PINV,K=/LA/JnlTyp,F=&lt;ALL&gt;,K=/LA/Alc,F=&lt;ALL&gt;,T=&lt;ALL&gt;,K=/LA/JnlSrc,F=CARDLOGIC LTD,T=CARDLOGIC LTD,K=/LA/CA/Nme,E=1,O=/LA/BseAmt,XLBVal:6=-664.200",)</f>
        <v>-664.2</v>
      </c>
    </row>
    <row r="382" spans="1:3" x14ac:dyDescent="0.25">
      <c r="A382" s="9" t="s">
        <v>790</v>
      </c>
      <c r="B382" s="9" t="s">
        <v>791</v>
      </c>
      <c r="C382" s="16">
        <f>[1]!QAA_AGG("1,2,SS6,LA,F=KCA,K=DbC,F=A,K=/LA/Ldg,F=CGR020,T=CGR020,K=/LA/AccCde,F=001/2022,T=012/2022,K=/LA/Prd,F=P,T=PINV,K=/LA/JnlTyp,F=&lt;ALL&gt;,K=/LA/Alc,F=&lt;ALL&gt;,T=&lt;ALL&gt;,K=/LA/JnlSrc,F=GROGAN BURNER SERVICES LTD.,T=GROGAN BURNER SERVICES LTD.,K=/LA/CA/Nme,E=1,O=/LA/B"&amp;"seAmt,XLBVal:6=-663.130",)</f>
        <v>-663.13</v>
      </c>
    </row>
    <row r="383" spans="1:3" x14ac:dyDescent="0.25">
      <c r="A383" s="9" t="s">
        <v>45</v>
      </c>
      <c r="B383" s="9" t="s">
        <v>809</v>
      </c>
      <c r="C383" s="16">
        <f>[1]!QAA_AGG("1,2,SS6,LA,F=KCA,K=DbC,F=A,K=/LA/Ldg,F=CDE121,T=CDE121,K=/LA/AccCde,F=001/2022,T=012/2022,K=/LA/Prd,F=P,T=PINV,K=/LA/JnlTyp,F=&lt;ALL&gt;,K=/LA/Alc,F=&lt;ALL&gt;,T=&lt;ALL&gt;,K=/LA/JnlSrc,F=DEEGAN FRESH PRODUCE LTD,T=DEEGAN FRESH PRODUCE LTD,K=/LA/CA/Nme,E=1,O=/LA/BseAmt,"&amp;"XLBVal:6=-662.550",)</f>
        <v>-662.55</v>
      </c>
    </row>
    <row r="384" spans="1:3" x14ac:dyDescent="0.25">
      <c r="A384" s="9" t="s">
        <v>810</v>
      </c>
      <c r="B384" s="9" t="s">
        <v>811</v>
      </c>
      <c r="C384" s="16">
        <f>[1]!QAA_AGG("1,2,SS6,LA,F=KCA,K=DbC,F=A,K=/LA/Ldg,F=CNE019,T=CNE019,K=/LA/AccCde,F=001/2022,T=012/2022,K=/LA/Prd,F=P,T=PINV,K=/LA/JnlTyp,F=&lt;ALL&gt;,K=/LA/Alc,F=&lt;ALL&gt;,T=&lt;ALL&gt;,K=/LA/JnlSrc,F=NED BUGGY SPORTS,T=NED BUGGY SPORTS,K=/LA/CA/Nme,E=1,O=/LA/BseAmt,XLBVal:6=-659.00"&amp;"0",)</f>
        <v>-659</v>
      </c>
    </row>
    <row r="385" spans="1:3" x14ac:dyDescent="0.25">
      <c r="A385" s="9" t="s">
        <v>812</v>
      </c>
      <c r="B385" s="9" t="s">
        <v>83</v>
      </c>
      <c r="C385" s="16">
        <f>[1]!QAA_AGG("1,2,SS6,LA,F=KCA,K=DbC,F=A,K=/LA/Ldg,F=CFO026,T=CFO026,K=/LA/AccCde,F=001/2022,T=012/2022,K=/LA/Prd,F=P,T=PINV,K=/LA/JnlTyp,F=&lt;ALL&gt;,K=/LA/Alc,F=&lt;ALL&gt;,T=&lt;ALL&gt;,K=/LA/JnlSrc,F=FORENSIC FUN LIMITED,T=FORENSIC FUN LIMITED,K=/LA/CA/Nme,E=1,O=/LA/BseAmt,XLBVal:6"&amp;"=-650.000",)</f>
        <v>-650</v>
      </c>
    </row>
    <row r="386" spans="1:3" x14ac:dyDescent="0.25">
      <c r="A386" s="9" t="s">
        <v>815</v>
      </c>
      <c r="B386" s="9" t="s">
        <v>816</v>
      </c>
      <c r="C386" s="16">
        <f>[1]!QAA_AGG("1,2,SS6,LA,F=KCA,K=DbC,F=A,K=/LA/Ldg,F=CMI097,T=CMI097,K=/LA/AccCde,F=001/2022,T=012/2022,K=/LA/Prd,F=P,T=PINV,K=/LA/JnlTyp,F=&lt;ALL&gt;,K=/LA/Alc,F=&lt;ALL&gt;,T=&lt;ALL&gt;,K=/LA/JnlSrc,F=MICHAEL CORRWAY{Cm} FARRIER,T=MICHAEL CORRWAY{Cm} FARRIER,K=/LA/CA/Nme,E=1,O=/LA/B"&amp;"seAmt,XLBVal:6=-640.000",)</f>
        <v>-640</v>
      </c>
    </row>
    <row r="387" spans="1:3" x14ac:dyDescent="0.25">
      <c r="A387" s="9" t="s">
        <v>90</v>
      </c>
      <c r="B387" s="9" t="s">
        <v>817</v>
      </c>
      <c r="C387" s="16">
        <f>[1]!QAA_AGG("1,2,SS6,LA,F=KCA,K=DbC,F=A,K=/LA/Ldg,F=CFL017,T=CFL017,K=/LA/AccCde,F=001/2022,T=012/2022,K=/LA/Prd,F=P,T=PINV,K=/LA/JnlTyp,F=&lt;ALL&gt;,K=/LA/Alc,F=&lt;ALL&gt;,T=&lt;ALL&gt;,K=/LA/JnlSrc,F=FLIGHT HAWK SECURITY LTD.,T=FLIGHT HAWK SECURITY LTD.,K=/LA/CA/Nme,E=1,O=/LA/BseAm"&amp;"t,XLBVal:6=-639.600",)</f>
        <v>-639.6</v>
      </c>
    </row>
    <row r="388" spans="1:3" x14ac:dyDescent="0.25">
      <c r="A388" s="9" t="s">
        <v>822</v>
      </c>
      <c r="B388" s="9" t="s">
        <v>823</v>
      </c>
      <c r="C388" s="16">
        <f>[1]!QAA_AGG("1,2,SS6,LA,F=KCA,K=DbC,F=A,K=/LA/Ldg,F=CJO140,T=CJO140,K=/LA/AccCde,F=001/2022,T=012/2022,K=/LA/Prd,F=P,T=PINV,K=/LA/JnlTyp,F=&lt;ALL&gt;,K=/LA/Alc,F=&lt;ALL&gt;,T=&lt;ALL&gt;,K=/LA/JnlSrc,F=JOHN KAVANAGH HEATING &amp; PLUMBING LTD,T=JOHN KAVANAGH HEATING &amp; PLUMBING LTD,K=/LA/"&amp;"CA/Nme,E=1,O=/LA/BseAmt,XLBVal:6=-628.000",)</f>
        <v>-628</v>
      </c>
    </row>
    <row r="389" spans="1:3" x14ac:dyDescent="0.25">
      <c r="A389" s="9" t="s">
        <v>824</v>
      </c>
      <c r="B389" s="9" t="s">
        <v>111</v>
      </c>
      <c r="C389" s="16">
        <f>[1]!QAA_AGG("1,2,SS6,LA,F=KCA,K=DbC,F=A,K=/LA/Ldg,F=CST013,T=CST013,K=/LA/AccCde,F=001/2022,T=012/2022,K=/LA/Prd,F=P,T=PINV,K=/LA/JnlTyp,F=&lt;ALL&gt;,K=/LA/Alc,F=&lt;ALL&gt;,T=&lt;ALL&gt;,K=/LA/JnlSrc,F=STUDENT ENRICHMENT SERVICES,T=STUDENT ENRICHMENT SERVICES,K=/LA/CA/Nme,E=1,O=/LA/B"&amp;"seAmt,XLBVal:6=-625.000",)</f>
        <v>-625</v>
      </c>
    </row>
    <row r="390" spans="1:3" x14ac:dyDescent="0.25">
      <c r="A390" s="9" t="s">
        <v>825</v>
      </c>
      <c r="B390" s="9" t="s">
        <v>826</v>
      </c>
      <c r="C390" s="16">
        <f>[1]!QAA_AGG("1,2,SS6,LA,F=KCA,K=DbC,F=A,K=/LA/Ldg,F=CCO006,T=CCO006,K=/LA/AccCde,F=001/2022,T=012/2022,K=/LA/Prd,F=P,T=PINV,K=/LA/JnlTyp,F=&lt;ALL&gt;,K=/LA/Alc,F=&lt;ALL&gt;,T=&lt;ALL&gt;,K=/LA/JnlSrc,F=Colmac Commerical equipment Ltd,T=Colmac Commerical equipment Ltd,K=/LA/CA/Nme,E=1"&amp;",O=/LA/BseAmt,XLBVal:6=-622.380",)</f>
        <v>-622.38</v>
      </c>
    </row>
    <row r="391" spans="1:3" x14ac:dyDescent="0.25">
      <c r="A391" s="9" t="s">
        <v>827</v>
      </c>
      <c r="B391" s="9" t="s">
        <v>828</v>
      </c>
      <c r="C391" s="16">
        <f>[1]!QAA_AGG("1,2,SS6,LA,F=KCA,K=DbC,F=A,K=/LA/Ldg,F=CTH137,T=CTH137,K=/LA/AccCde,F=001/2022,T=012/2022,K=/LA/Prd,F=P,T=PINV,K=/LA/JnlTyp,F=&lt;ALL&gt;,K=/LA/Alc,F=&lt;ALL&gt;,T=&lt;ALL&gt;,K=/LA/JnlSrc,F=THE BOOK CENTRE-SCHOLARS,T=THE BOOK CENTRE-SCHOLARS,K=/LA/CA/Nme,E=1,O=/LA/BseAmt,"&amp;"XLBVal:6=-620.000",)</f>
        <v>-620</v>
      </c>
    </row>
    <row r="392" spans="1:3" x14ac:dyDescent="0.25">
      <c r="A392" s="9" t="s">
        <v>1513</v>
      </c>
      <c r="B392" s="9" t="s">
        <v>1514</v>
      </c>
      <c r="C392" s="16">
        <f>[1]!QAA_AGG("1,2,SS6,LA,F=KCA,K=DbC,F=A,K=/LA/Ldg,F=CBA046,T=CBA046,K=/LA/AccCde,F=001/2022,T=012/2022,K=/LA/Prd,F=P,T=PINV,K=/LA/JnlTyp,F=&lt;ALL&gt;,K=/LA/Alc,F=&lt;ALL&gt;,T=&lt;ALL&gt;,K=/LA/JnlSrc,F=BALLYMOUNTAIN,T=BALLYMOUNTAIN,K=/LA/CA/Nme,E=1,O=/LA/BseAmt,XLBVal:6=-617.150",)</f>
        <v>-617.15</v>
      </c>
    </row>
    <row r="393" spans="1:3" x14ac:dyDescent="0.25">
      <c r="A393" s="9" t="s">
        <v>829</v>
      </c>
      <c r="B393" s="9" t="s">
        <v>830</v>
      </c>
      <c r="C393" s="16">
        <f>[1]!QAA_AGG("1,2,SS6,LA,F=KCA,K=DbC,F=A,K=/LA/Ldg,F=CLE051,T=CLE051,K=/LA/AccCde,F=001/2022,T=012/2022,K=/LA/Prd,F=P,T=PINV,K=/LA/JnlTyp,F=&lt;ALL&gt;,K=/LA/Alc,F=&lt;ALL&gt;,T=&lt;ALL&gt;,K=/LA/JnlSrc,F=LEIGHLIN PARISH CENTRE,T=LEIGHLIN PARISH CENTRE,K=/LA/CA/Nme,E=1,O=/LA/BseAmt,XLBV"&amp;"al:6=-610.000",)</f>
        <v>-610</v>
      </c>
    </row>
    <row r="394" spans="1:3" x14ac:dyDescent="0.25">
      <c r="A394" s="9" t="s">
        <v>834</v>
      </c>
      <c r="B394" s="9" t="s">
        <v>835</v>
      </c>
      <c r="C394" s="16">
        <f>[1]!QAA_AGG("1,2,SS6,LA,F=KCA,K=DbC,F=A,K=/LA/Ldg,F=CIN015,T=CIN015,K=/LA/AccCde,F=001/2022,T=012/2022,K=/LA/Prd,F=P,T=PINV,K=/LA/JnlTyp,F=&lt;ALL&gt;,K=/LA/Alc,F=&lt;ALL&gt;,T=&lt;ALL&gt;,K=/LA/JnlSrc,F=John Brett t/a Inch Sawmills,T=John Brett t/a Inch Sawmills,K=/LA/CA/Nme,E=1,O=/LA"&amp;"/BseAmt,XLBVal:6=-600.000",)</f>
        <v>-600</v>
      </c>
    </row>
    <row r="395" spans="1:3" x14ac:dyDescent="0.25">
      <c r="A395" s="9" t="s">
        <v>813</v>
      </c>
      <c r="B395" s="9" t="s">
        <v>814</v>
      </c>
      <c r="C395" s="16">
        <f>[1]!QAA_AGG("1,2,SS6,LA,F=KCA,K=DbC,F=A,K=/LA/Ldg,F=CCM000,T=CCM000,K=/LA/AccCde,F=001/2022,T=012/2022,K=/LA/Prd,F=P,T=PINV,K=/LA/JnlTyp,F=&lt;ALL&gt;,K=/LA/Alc,F=&lt;ALL&gt;,T=&lt;ALL&gt;,K=/LA/JnlSrc,F=CM COMMUNITY SPORTS,T=CM COMMUNITY SPORTS,K=/LA/CA/Nme,E=1,O=/LA/BseAmt,XLBVal:6=-"&amp;"600.000",)</f>
        <v>-600</v>
      </c>
    </row>
    <row r="396" spans="1:3" x14ac:dyDescent="0.25">
      <c r="A396" s="9" t="s">
        <v>832</v>
      </c>
      <c r="B396" s="9" t="s">
        <v>833</v>
      </c>
      <c r="C396" s="16">
        <f>[1]!QAA_AGG("1,2,SS6,LA,F=KCA,K=DbC,F=A,K=/LA/Ldg,F=CCO100,T=CCO100,K=/LA/AccCde,F=001/2022,T=012/2022,K=/LA/Prd,F=P,T=PINV,K=/LA/JnlTyp,F=&lt;ALL&gt;,K=/LA/Alc,F=&lt;ALL&gt;,T=&lt;ALL&gt;,K=/LA/JnlSrc,F=Colaiste Chara,T=Colaiste Chara,K=/LA/CA/Nme,E=1,O=/LA/BseAmt,XLBVal:6=-600.000",)</f>
        <v>-600</v>
      </c>
    </row>
    <row r="397" spans="1:3" x14ac:dyDescent="0.25">
      <c r="A397" s="9" t="s">
        <v>836</v>
      </c>
      <c r="B397" s="9" t="s">
        <v>837</v>
      </c>
      <c r="C397" s="16">
        <f>[1]!QAA_AGG("1,2,SS6,LA,F=KCA,K=DbC,F=A,K=/LA/Ldg,F=CSU002,T=CSU002,K=/LA/AccCde,F=001/2022,T=012/2022,K=/LA/Prd,F=P,T=PINV,K=/LA/JnlTyp,F=&lt;ALL&gt;,K=/LA/Alc,F=&lt;ALL&gt;,T=&lt;ALL&gt;,K=/LA/JnlSrc,F=Suzy Byrne,T=Suzy Byrne,K=/LA/CA/Nme,E=1,O=/LA/BseAmt,XLBVal:6=-600.000",)</f>
        <v>-600</v>
      </c>
    </row>
    <row r="398" spans="1:3" x14ac:dyDescent="0.25">
      <c r="A398" s="9" t="s">
        <v>820</v>
      </c>
      <c r="B398" s="9" t="s">
        <v>821</v>
      </c>
      <c r="C398" s="16">
        <f>[1]!QAA_AGG("1,2,SS6,LA,F=KCA,K=DbC,F=A,K=/LA/Ldg,F=CCH005,T=CCH005,K=/LA/AccCde,F=001/2022,T=012/2022,K=/LA/Prd,F=P,T=PINV,K=/LA/JnlTyp,F=&lt;ALL&gt;,K=/LA/Alc,F=&lt;ALL&gt;,T=&lt;ALL&gt;,K=/LA/JnlSrc,F=Christies Direct Ltd,T=Christies Direct Ltd,K=/LA/CA/Nme,E=1,O=/LA/BseAmt,XLBVal:6"&amp;"=-589.120",)</f>
        <v>-589.12</v>
      </c>
    </row>
    <row r="399" spans="1:3" x14ac:dyDescent="0.25">
      <c r="A399" s="9" t="s">
        <v>27</v>
      </c>
      <c r="B399" s="9" t="s">
        <v>838</v>
      </c>
      <c r="C399" s="16">
        <f>[1]!QAA_AGG("1,2,SS6,LA,F=KCA,K=DbC,F=A,K=/LA/Ldg,F=CCA004,T=CCA004,K=/LA/AccCde,F=001/2022,T=012/2022,K=/LA/Prd,F=P,T=PINV,K=/LA/JnlTyp,F=&lt;ALL&gt;,K=/LA/Alc,F=&lt;ALL&gt;,T=&lt;ALL&gt;,K=/LA/JnlSrc,F=CARLOW GLASS LTD,T=CARLOW GLASS LTD,K=/LA/CA/Nme,E=1,O=/LA/BseAmt,XLBVal:6=-588.56"&amp;"0",)</f>
        <v>-588.55999999999995</v>
      </c>
    </row>
    <row r="400" spans="1:3" x14ac:dyDescent="0.25">
      <c r="A400" s="9" t="s">
        <v>94</v>
      </c>
      <c r="B400" s="9" t="s">
        <v>839</v>
      </c>
      <c r="C400" s="16">
        <f>[1]!QAA_AGG("1,2,SS6,LA,F=KCA,K=DbC,F=A,K=/LA/Ldg,F=COT002,T=COT002,K=/LA/AccCde,F=001/2022,T=012/2022,K=/LA/Prd,F=P,T=PINV,K=/LA/JnlTyp,F=&lt;ALL&gt;,K=/LA/Alc,F=&lt;ALL&gt;,T=&lt;ALL&gt;,K=/LA/JnlSrc,F=O'TOOLE CONSTRUCTION,T=O'TOOLE CONSTRUCTION,K=/LA/CA/Nme,E=1,O=/LA/BseAmt,XLBVal:6"&amp;"=-588.000",)</f>
        <v>-588</v>
      </c>
    </row>
    <row r="401" spans="1:3" x14ac:dyDescent="0.25">
      <c r="A401" s="9" t="s">
        <v>840</v>
      </c>
      <c r="B401" s="9" t="s">
        <v>841</v>
      </c>
      <c r="C401" s="16">
        <f>[1]!QAA_AGG("1,2,SS6,LA,F=KCA,K=DbC,F=A,K=/LA/Ldg,F=CES001,T=CES001,K=/LA/AccCde,F=001/2022,T=012/2022,K=/LA/Prd,F=P,T=PINV,K=/LA/JnlTyp,F=&lt;ALL&gt;,K=/LA/Alc,F=&lt;ALL&gt;,T=&lt;ALL&gt;,K=/LA/JnlSrc,F=ESSANESS MUSIC,T=ESSANESS MUSIC,K=/LA/CA/Nme,E=1,O=/LA/BseAmt,XLBVal:6=-582.500",)</f>
        <v>-582.5</v>
      </c>
    </row>
    <row r="402" spans="1:3" x14ac:dyDescent="0.25">
      <c r="A402" s="9" t="s">
        <v>842</v>
      </c>
      <c r="B402" s="9" t="s">
        <v>843</v>
      </c>
      <c r="C402" s="16">
        <f>[1]!QAA_AGG("1,2,SS6,LA,F=KCA,K=DbC,F=A,K=/LA/Ldg,F=COB002,T=COB002,K=/LA/AccCde,F=001/2022,T=012/2022,K=/LA/Prd,F=P,T=PINV,K=/LA/JnlTyp,F=&lt;ALL&gt;,K=/LA/Alc,F=&lt;ALL&gt;,T=&lt;ALL&gt;,K=/LA/JnlSrc,F=O'BRIEN SCHOOL DIARIES,T=O'BRIEN SCHOOL DIARIES,K=/LA/CA/Nme,E=1,O=/LA/BseAmt,XLBV"&amp;"al:6=-582.300",)</f>
        <v>-582.29999999999995</v>
      </c>
    </row>
    <row r="403" spans="1:3" x14ac:dyDescent="0.25">
      <c r="A403" s="9" t="s">
        <v>844</v>
      </c>
      <c r="B403" s="9" t="s">
        <v>845</v>
      </c>
      <c r="C403" s="16">
        <f>[1]!QAA_AGG("1,2,SS6,LA,F=KCA,K=DbC,F=A,K=/LA/Ldg,F=CBR085,T=CBR085,K=/LA/AccCde,F=001/2022,T=012/2022,K=/LA/Prd,F=P,T=PINV,K=/LA/JnlTyp,F=&lt;ALL&gt;,K=/LA/Alc,F=&lt;ALL&gt;,T=&lt;ALL&gt;,K=/LA/JnlSrc,F=BRANDON PLANT AND TOOL HIRE,T=BRANDON PLANT AND TOOL HIRE,K=/LA/CA/Nme,E=1,O=/LA/B"&amp;"seAmt,XLBVal:6=-574.960",)</f>
        <v>-574.96</v>
      </c>
    </row>
    <row r="404" spans="1:3" x14ac:dyDescent="0.25">
      <c r="A404" s="9" t="s">
        <v>846</v>
      </c>
      <c r="B404" s="9" t="s">
        <v>847</v>
      </c>
      <c r="C404" s="16">
        <f>[1]!QAA_AGG("1,2,SS6,LA,F=KCA,K=DbC,F=A,K=/LA/Ldg,F=CWA053,T=CWA053,K=/LA/AccCde,F=001/2022,T=012/2022,K=/LA/Prd,F=P,T=PINV,K=/LA/JnlTyp,F=&lt;ALL&gt;,K=/LA/Alc,F=&lt;ALL&gt;,T=&lt;ALL&gt;,K=/LA/JnlSrc,F=WAYFINDING AND SIGN SOLUTIONS LIMITED,T=WAYFINDING AND SIGN SOLUTIONS LIMITED,K=/L"&amp;"A/CA/Nme,E=1,O=/LA/BseAmt,XLBVal:6=-570.720",)</f>
        <v>-570.72</v>
      </c>
    </row>
    <row r="405" spans="1:3" x14ac:dyDescent="0.25">
      <c r="A405" s="9" t="s">
        <v>848</v>
      </c>
      <c r="B405" s="9" t="s">
        <v>849</v>
      </c>
      <c r="C405" s="16">
        <f>[1]!QAA_AGG("1,2,SS6,LA,F=KCA,K=DbC,F=A,K=/LA/Ldg,F=CSO016,T=CSO016,K=/LA/AccCde,F=001/2022,T=012/2022,K=/LA/Prd,F=P,T=PINV,K=/LA/JnlTyp,F=&lt;ALL&gt;,K=/LA/Alc,F=&lt;ALL&gt;,T=&lt;ALL&gt;,K=/LA/JnlSrc,F=SOUTH EAST LEINSTER SCHOOLS ATHLETICS UNION,T=SOUTH EAST LEINSTER SCHOOLS ATHLETIC"&amp;"S UNION,K=/LA/CA/Nme,E=1,O=/LA/BseAmt,XLBVal:6=-570.000",)</f>
        <v>-570</v>
      </c>
    </row>
    <row r="406" spans="1:3" x14ac:dyDescent="0.25">
      <c r="A406" s="9" t="s">
        <v>850</v>
      </c>
      <c r="B406" s="9" t="s">
        <v>851</v>
      </c>
      <c r="C406" s="16">
        <f>[1]!QAA_AGG("1,2,SS6,LA,F=KCA,K=DbC,F=A,K=/LA/Ldg,F=CRA072,T=CRA072,K=/LA/AccCde,F=001/2022,T=012/2022,K=/LA/Prd,F=P,T=PINV,K=/LA/JnlTyp,F=&lt;ALL&gt;,K=/LA/Alc,F=&lt;ALL&gt;,T=&lt;ALL&gt;,K=/LA/JnlSrc,F=RAPID TRAVEL LIMITED,T=RAPID TRAVEL LIMITED,K=/LA/CA/Nme,E=1,O=/LA/BseAmt,XLBVal:6"&amp;"=-568.000",)</f>
        <v>-568</v>
      </c>
    </row>
    <row r="407" spans="1:3" x14ac:dyDescent="0.25">
      <c r="A407" s="9" t="s">
        <v>852</v>
      </c>
      <c r="B407" s="9" t="s">
        <v>853</v>
      </c>
      <c r="C407" s="16">
        <f>[1]!QAA_AGG("1,2,SS6,LA,F=KCA,K=DbC,F=A,K=/LA/Ldg,F=CCA053,T=CCA053,K=/LA/AccCde,F=001/2022,T=012/2022,K=/LA/Prd,F=P,T=PINV,K=/LA/JnlTyp,F=&lt;ALL&gt;,K=/LA/Alc,F=&lt;ALL&gt;,T=&lt;ALL&gt;,K=/LA/JnlSrc,F=CARLOW FABRIC &amp; CRAFTS,T=CARLOW FABRIC &amp; CRAFTS,K=/LA/CA/Nme,E=1,O=/LA/BseAmt,XLBV"&amp;"al:6=-567.700",)</f>
        <v>-567.70000000000005</v>
      </c>
    </row>
    <row r="408" spans="1:3" x14ac:dyDescent="0.25">
      <c r="A408" s="9" t="s">
        <v>854</v>
      </c>
      <c r="B408" s="9" t="s">
        <v>855</v>
      </c>
      <c r="C408" s="16">
        <f>[1]!QAA_AGG("1,2,SS6,LA,F=KCA,K=DbC,F=A,K=/LA/Ldg,F=CCR040,T=CCR040,K=/LA/AccCde,F=001/2022,T=012/2022,K=/LA/Prd,F=P,T=PINV,K=/LA/JnlTyp,F=&lt;ALL&gt;,K=/LA/Alc,F=&lt;ALL&gt;,T=&lt;ALL&gt;,K=/LA/JnlSrc,F=CRISIS PREVENTION,T=CRISIS PREVENTION,K=/LA/CA/Nme,E=1,O=/LA/BseAmt,XLBVal:6=-565."&amp;"800",)</f>
        <v>-565.79999999999995</v>
      </c>
    </row>
    <row r="409" spans="1:3" x14ac:dyDescent="0.25">
      <c r="A409" s="9" t="s">
        <v>856</v>
      </c>
      <c r="B409" s="9" t="s">
        <v>857</v>
      </c>
      <c r="C409" s="16">
        <f>[1]!QAA_AGG("1,2,SS6,LA,F=KCA,K=DbC,F=A,K=/LA/Ldg,F=CMO002,T=CMO002,K=/LA/AccCde,F=001/2022,T=012/2022,K=/LA/Prd,F=P,T=PINV,K=/LA/JnlTyp,F=&lt;ALL&gt;,K=/LA/Alc,F=&lt;ALL&gt;,T=&lt;ALL&gt;,K=/LA/JnlSrc,F=Monika Skultinaite,T=Monika Skultinaite,K=/LA/CA/Nme,E=1,O=/LA/BseAmt,XLBVal:6=-56"&amp;"5.000",)</f>
        <v>-565</v>
      </c>
    </row>
    <row r="410" spans="1:3" x14ac:dyDescent="0.25">
      <c r="A410" s="9" t="s">
        <v>831</v>
      </c>
      <c r="B410" s="9" t="s">
        <v>48</v>
      </c>
      <c r="C410" s="16">
        <f>[1]!QAA_AGG("1,2,SS6,LA,F=KCA,K=DbC,F=A,K=/LA/Ldg,F=CED025,T=CED025,K=/LA/AccCde,F=001/2022,T=012/2022,K=/LA/Prd,F=P,T=PINV,K=/LA/JnlTyp,F=&lt;ALL&gt;,K=/LA/Alc,F=&lt;ALL&gt;,T=&lt;ALL&gt;,K=/LA/JnlSrc,F=EDUCATE.IE,T=EDUCATE.IE,K=/LA/CA/Nme,E=1,O=/LA/BseAmt,XLBVal:6=-561.000",)</f>
        <v>-561</v>
      </c>
    </row>
    <row r="411" spans="1:3" x14ac:dyDescent="0.25">
      <c r="A411" s="9" t="s">
        <v>89</v>
      </c>
      <c r="B411" s="9" t="s">
        <v>859</v>
      </c>
      <c r="C411" s="16">
        <f>[1]!QAA_AGG("1,2,SS6,LA,F=KCA,K=DbC,F=A,K=/LA/Ldg,F=CFL008,T=CFL008,K=/LA/AccCde,F=001/2022,T=012/2022,K=/LA/Prd,F=P,T=PINV,K=/LA/JnlTyp,F=&lt;ALL&gt;,K=/LA/Alc,F=&lt;ALL&gt;,T=&lt;ALL&gt;,K=/LA/JnlSrc,F=FLASHPOINT SYSTEMS.IE,T=FLASHPOINT SYSTEMS.IE,K=/LA/CA/Nme,E=1,O=/LA/BseAmt,XLBVal"&amp;":6=-559.960",)</f>
        <v>-559.96</v>
      </c>
    </row>
    <row r="412" spans="1:3" x14ac:dyDescent="0.25">
      <c r="A412" s="9" t="s">
        <v>860</v>
      </c>
      <c r="B412" s="9" t="s">
        <v>861</v>
      </c>
      <c r="C412" s="16">
        <f>[1]!QAA_AGG("1,2,SS6,LA,F=KCA,K=DbC,F=A,K=/LA/Ldg,F=COH001,T=COH001,K=/LA/AccCde,F=001/2022,T=012/2022,K=/LA/Prd,F=P,T=PINV,K=/LA/JnlTyp,F=&lt;ALL&gt;,K=/LA/Alc,F=&lt;ALL&gt;,T=&lt;ALL&gt;,K=/LA/JnlSrc,F=OHG JOHNSTOWN SHOP LTD.,T=OHG JOHNSTOWN SHOP LTD.,K=/LA/CA/Nme,E=1,O=/LA/BseAmt,XL"&amp;"BVal:6=-555.150",)</f>
        <v>-555.15</v>
      </c>
    </row>
    <row r="413" spans="1:3" x14ac:dyDescent="0.25">
      <c r="A413" s="9" t="s">
        <v>862</v>
      </c>
      <c r="B413" s="9" t="s">
        <v>863</v>
      </c>
      <c r="C413" s="16">
        <f>[1]!QAA_AGG("1,2,SS6,LA,F=KCA,K=DbC,F=A,K=/LA/Ldg,F=CAP002,T=CAP002,K=/LA/AccCde,F=001/2022,T=012/2022,K=/LA/Prd,F=P,T=PINV,K=/LA/JnlTyp,F=&lt;ALL&gt;,K=/LA/Alc,F=&lt;ALL&gt;,T=&lt;ALL&gt;,K=/LA/JnlSrc,F=APEX FIRE LTD.,T=APEX FIRE LTD.,K=/LA/CA/Nme,E=1,O=/LA/BseAmt,XLBVal:6=-554.910",)</f>
        <v>-554.91</v>
      </c>
    </row>
    <row r="414" spans="1:3" x14ac:dyDescent="0.25">
      <c r="A414" s="9" t="s">
        <v>818</v>
      </c>
      <c r="B414" s="9" t="s">
        <v>819</v>
      </c>
      <c r="C414" s="16">
        <f>[1]!QAA_AGG("1,2,SS6,LA,F=KCA,K=DbC,F=A,K=/LA/Ldg,F=CBO036,T=CBO036,K=/LA/AccCde,F=001/2022,T=012/2022,K=/LA/Prd,F=P,T=PINV,K=/LA/JnlTyp,F=&lt;ALL&gt;,K=/LA/Alc,F=&lt;ALL&gt;,T=&lt;ALL&gt;,K=/LA/JnlSrc,F=BOSCO'S MEAT OUTLET LTD,T=BOSCO'S MEAT OUTLET LTD,K=/LA/CA/Nme,E=1,O=/LA/BseAmt,XL"&amp;"BVal:6=-552.790",)</f>
        <v>-552.79</v>
      </c>
    </row>
    <row r="415" spans="1:3" x14ac:dyDescent="0.25">
      <c r="A415" s="9" t="s">
        <v>866</v>
      </c>
      <c r="B415" s="9" t="s">
        <v>867</v>
      </c>
      <c r="C415" s="16">
        <f>[1]!QAA_AGG("1,2,SS6,LA,F=KCA,K=DbC,F=A,K=/LA/Ldg,F=CMO059,T=CMO059,K=/LA/AccCde,F=001/2022,T=012/2022,K=/LA/Prd,F=P,T=PINV,K=/LA/JnlTyp,F=&lt;ALL&gt;,K=/LA/Alc,F=&lt;ALL&gt;,T=&lt;ALL&gt;,K=/LA/JnlSrc,F=Molly Dawson,T=Molly Dawson,K=/LA/CA/Nme,E=1,O=/LA/BseAmt,XLBVal:6=-540.000",)</f>
        <v>-540</v>
      </c>
    </row>
    <row r="416" spans="1:3" x14ac:dyDescent="0.25">
      <c r="A416" s="9" t="s">
        <v>871</v>
      </c>
      <c r="B416" s="9" t="s">
        <v>872</v>
      </c>
      <c r="C416" s="16">
        <f>[1]!QAA_AGG("1,2,SS6,LA,F=KCA,K=DbC,F=A,K=/LA/Ldg,F=CMI049,T=CMI049,K=/LA/AccCde,F=001/2022,T=012/2022,K=/LA/Prd,F=P,T=PINV,K=/LA/JnlTyp,F=&lt;ALL&gt;,K=/LA/Alc,F=&lt;ALL&gt;,T=&lt;ALL&gt;,K=/LA/JnlSrc,F=MICHAEL HOSEY,T=MICHAEL HOSEY,K=/LA/CA/Nme,E=1,O=/LA/BseAmt,XLBVal:6=-532.150",)</f>
        <v>-532.15</v>
      </c>
    </row>
    <row r="417" spans="1:3" x14ac:dyDescent="0.25">
      <c r="A417" s="9" t="s">
        <v>873</v>
      </c>
      <c r="B417" s="9" t="s">
        <v>874</v>
      </c>
      <c r="C417" s="16">
        <f>[1]!QAA_AGG("1,2,SS6,LA,F=KCA,K=DbC,F=A,K=/LA/Ldg,F=CBE070,T=CBE070,K=/LA/AccCde,F=001/2022,T=012/2022,K=/LA/Prd,F=P,T=PINV,K=/LA/JnlTyp,F=&lt;ALL&gt;,K=/LA/Alc,F=&lt;ALL&gt;,T=&lt;ALL&gt;,K=/LA/JnlSrc,F=BELMORE ELECTRICAL LTD,T=BELMORE ELECTRICAL LTD,K=/LA/CA/Nme,E=1,O=/LA/BseAmt,XLBV"&amp;"al:6=-528.000",)</f>
        <v>-528</v>
      </c>
    </row>
    <row r="418" spans="1:3" x14ac:dyDescent="0.25">
      <c r="A418" s="9" t="s">
        <v>1048</v>
      </c>
      <c r="B418" s="9" t="s">
        <v>1049</v>
      </c>
      <c r="C418" s="16">
        <f>[1]!QAA_AGG("1,2,SS6,LA,F=KCA,K=DbC,F=A,K=/LA/Ldg,F=CPE049,T=CPE049,K=/LA/AccCde,F=001/2022,T=012/2022,K=/LA/Prd,F=P,T=PINV,K=/LA/JnlTyp,F=&lt;ALL&gt;,K=/LA/Alc,F=&lt;ALL&gt;,T=&lt;ALL&gt;,K=/LA/JnlSrc,F=PETER O'BRIEN T/A TELACAB TAXI SERVICE,T=PETER O'BRIEN T/A TELACAB TAXI SERVICE,K="&amp;"/LA/CA/Nme,E=1,O=/LA/BseAmt,XLBVal:6=-525.000",)</f>
        <v>-525</v>
      </c>
    </row>
    <row r="419" spans="1:3" x14ac:dyDescent="0.25">
      <c r="A419" s="9" t="s">
        <v>858</v>
      </c>
      <c r="B419" s="9" t="s">
        <v>108</v>
      </c>
      <c r="C419" s="16">
        <f>[1]!QAA_AGG("1,2,SS6,LA,F=KCA,K=DbC,F=A,K=/LA/Ldg,F=CME034,T=CME034,K=/LA/AccCde,F=001/2022,T=012/2022,K=/LA/Prd,F=P,T=PINV,K=/LA/JnlTyp,F=&lt;ALL&gt;,K=/LA/Alc,F=&lt;ALL&gt;,T=&lt;ALL&gt;,K=/LA/JnlSrc,F=MEDALS AND TROPHIES 4U,T=MEDALS AND TROPHIES 4U,K=/LA/CA/Nme,E=1,O=/LA/BseAmt,XLBV"&amp;"al:6=-520.950",)</f>
        <v>-520.95000000000005</v>
      </c>
    </row>
    <row r="420" spans="1:3" x14ac:dyDescent="0.25">
      <c r="A420" s="9" t="s">
        <v>875</v>
      </c>
      <c r="B420" s="9" t="s">
        <v>876</v>
      </c>
      <c r="C420" s="16">
        <f>[1]!QAA_AGG("1,2,SS6,LA,F=KCA,K=DbC,F=A,K=/LA/Ldg,F=CHI007,T=CHI007,K=/LA/AccCde,F=001/2022,T=012/2022,K=/LA/Prd,F=P,T=PINV,K=/LA/JnlTyp,F=&lt;ALL&gt;,K=/LA/Alc,F=&lt;ALL&gt;,T=&lt;ALL&gt;,K=/LA/JnlSrc,F=HIGH ROCK PRODUCTIONS LTD,T=HIGH ROCK PRODUCTIONS LTD,K=/LA/CA/Nme,E=1,O=/LA/BseAm"&amp;"t,XLBVal:6=-520.000",)</f>
        <v>-520</v>
      </c>
    </row>
    <row r="421" spans="1:3" x14ac:dyDescent="0.25">
      <c r="A421" s="9" t="s">
        <v>877</v>
      </c>
      <c r="B421" s="9" t="s">
        <v>878</v>
      </c>
      <c r="C421" s="16">
        <f>[1]!QAA_AGG("1,2,SS6,LA,F=KCA,K=DbC,F=A,K=/LA/Ldg,F=CCA349,T=CCA349,K=/LA/AccCde,F=001/2022,T=012/2022,K=/LA/Prd,F=P,T=PINV,K=/LA/JnlTyp,F=&lt;ALL&gt;,K=/LA/Alc,F=&lt;ALL&gt;,T=&lt;ALL&gt;,K=/LA/JnlSrc,F=CAMERA CENTRE LTD,T=CAMERA CENTRE LTD,K=/LA/CA/Nme,E=1,O=/LA/BseAmt,XLBVal:6=-519."&amp;"990",)</f>
        <v>-519.99</v>
      </c>
    </row>
    <row r="422" spans="1:3" x14ac:dyDescent="0.25">
      <c r="A422" s="9" t="s">
        <v>879</v>
      </c>
      <c r="B422" s="9" t="s">
        <v>880</v>
      </c>
      <c r="C422" s="16">
        <f>[1]!QAA_AGG("1,2,SS6,LA,F=KCA,K=DbC,F=A,K=/LA/Ldg,F=CM&amp;001,T=CM&amp;001,K=/LA/AccCde,F=001/2022,T=012/2022,K=/LA/Prd,F=P,T=PINV,K=/LA/JnlTyp,F=&lt;ALL&gt;,K=/LA/Alc,F=&lt;ALL&gt;,T=&lt;ALL&gt;,K=/LA/JnlSrc,F=M&amp;A COACHES,T=M&amp;A COACHES,K=/LA/CA/Nme,E=1,O=/LA/BseAmt,XLBVal:6=-514.500",)</f>
        <v>-514.5</v>
      </c>
    </row>
    <row r="423" spans="1:3" x14ac:dyDescent="0.25">
      <c r="A423" s="9" t="s">
        <v>881</v>
      </c>
      <c r="B423" s="9" t="s">
        <v>882</v>
      </c>
      <c r="C423" s="16">
        <f>[1]!QAA_AGG("1,2,SS6,LA,F=KCA,K=DbC,F=A,K=/LA/Ldg,F=CJJ001,T=CJJ001,K=/LA/AccCde,F=001/2022,T=012/2022,K=/LA/Prd,F=P,T=PINV,K=/LA/JnlTyp,F=&lt;ALL&gt;,K=/LA/Alc,F=&lt;ALL&gt;,T=&lt;ALL&gt;,K=/LA/JnlSrc,F=JJ's Hackney Service,T=JJ's Hackney Service,K=/LA/CA/Nme,E=1,O=/LA/BseAmt,XLBVal:6"&amp;"=-513.000",)</f>
        <v>-513</v>
      </c>
    </row>
    <row r="424" spans="1:3" x14ac:dyDescent="0.25">
      <c r="A424" s="9" t="s">
        <v>883</v>
      </c>
      <c r="B424" s="9" t="s">
        <v>884</v>
      </c>
      <c r="C424" s="16">
        <f>[1]!QAA_AGG("1,2,SS6,LA,F=KCA,K=DbC,F=A,K=/LA/Ldg,F=CGL029,T=CGL029,K=/LA/AccCde,F=001/2022,T=012/2022,K=/LA/Prd,F=P,T=PINV,K=/LA/JnlTyp,F=&lt;ALL&gt;,K=/LA/Alc,F=&lt;ALL&gt;,T=&lt;ALL&gt;,K=/LA/JnlSrc,F=GLEESON STEEL AND ENG LTD,T=GLEESON STEEL AND ENG LTD,K=/LA/CA/Nme,E=1,O=/LA/BseAm"&amp;"t,XLBVal:6=-510.750",)</f>
        <v>-510.75</v>
      </c>
    </row>
    <row r="425" spans="1:3" x14ac:dyDescent="0.25">
      <c r="A425" s="9" t="s">
        <v>885</v>
      </c>
      <c r="B425" s="9" t="s">
        <v>886</v>
      </c>
      <c r="C425" s="16">
        <f>[1]!QAA_AGG("1,2,SS6,LA,F=KCA,K=DbC,F=A,K=/LA/Ldg,F=CMA251,T=CMA251,K=/LA/AccCde,F=001/2022,T=012/2022,K=/LA/Prd,F=P,T=PINV,K=/LA/JnlTyp,F=&lt;ALL&gt;,K=/LA/Alc,F=&lt;ALL&gt;,T=&lt;ALL&gt;,K=/LA/JnlSrc,F=MARY BUTLER,T=MARY BUTLER,K=/LA/CA/Nme,E=1,O=/LA/BseAmt,XLBVal:6=-509.490",)</f>
        <v>-509.49</v>
      </c>
    </row>
    <row r="426" spans="1:3" x14ac:dyDescent="0.25">
      <c r="A426" s="9" t="s">
        <v>887</v>
      </c>
      <c r="B426" s="9" t="s">
        <v>888</v>
      </c>
      <c r="C426" s="16">
        <f>[1]!QAA_AGG("1,2,SS6,LA,F=KCA,K=DbC,F=A,K=/LA/Ldg,F=CLO060,T=CLO060,K=/LA/AccCde,F=001/2022,T=012/2022,K=/LA/Prd,F=P,T=PINV,K=/LA/JnlTyp,F=&lt;ALL&gt;,K=/LA/Alc,F=&lt;ALL&gt;,T=&lt;ALL&gt;,K=/LA/JnlSrc,F=LOETB MUSIC GENERATION LAOIS,T=LOETB MUSIC GENERATION LAOIS,K=/LA/CA/Nme,E=1,O=/LA"&amp;"/BseAmt,XLBVal:6=-505.000",)</f>
        <v>-505</v>
      </c>
    </row>
    <row r="427" spans="1:3" x14ac:dyDescent="0.25">
      <c r="A427" s="9" t="s">
        <v>889</v>
      </c>
      <c r="B427" s="9" t="s">
        <v>890</v>
      </c>
      <c r="C427" s="16">
        <f>[1]!QAA_AGG("1,2,SS6,LA,F=KCA,K=DbC,F=A,K=/LA/Ldg,F=CMR025,T=CMR025,K=/LA/AccCde,F=001/2022,T=012/2022,K=/LA/Prd,F=P,T=PINV,K=/LA/JnlTyp,F=&lt;ALL&gt;,K=/LA/Alc,F=&lt;ALL&gt;,T=&lt;ALL&gt;,K=/LA/JnlSrc,F=MRK (MORRISSEY REFRIGENATION KILKENNY),T=MRK (MORRISSEY REFRIGENATION KILKENNY),K="&amp;"/LA/CA/Nme,E=1,O=/LA/BseAmt,XLBVal:6=-502.230",)</f>
        <v>-502.23</v>
      </c>
    </row>
    <row r="428" spans="1:3" x14ac:dyDescent="0.25">
      <c r="A428" s="9" t="s">
        <v>898</v>
      </c>
      <c r="B428" s="9" t="s">
        <v>899</v>
      </c>
      <c r="C428" s="16">
        <f>[1]!QAA_AGG("1,2,SS6,LA,F=KCA,K=DbC,F=A,K=/LA/Ldg,F=CLI151,T=CLI151,K=/LA/AccCde,F=001/2022,T=012/2022,K=/LA/Prd,F=P,T=PINV,K=/LA/JnlTyp,F=&lt;ALL&gt;,K=/LA/Alc,F=&lt;ALL&gt;,T=&lt;ALL&gt;,K=/LA/JnlSrc,F=Liadain Kaminska,T=Liadain Kaminska,K=/LA/CA/Nme,E=1,O=/LA/BseAmt,XLBVal:6=-500.00"&amp;"0",)</f>
        <v>-500</v>
      </c>
    </row>
    <row r="429" spans="1:3" x14ac:dyDescent="0.25">
      <c r="A429" s="9" t="s">
        <v>896</v>
      </c>
      <c r="B429" s="9" t="s">
        <v>897</v>
      </c>
      <c r="C429" s="16">
        <f>[1]!QAA_AGG("1,2,SS6,LA,F=KCA,K=DbC,F=A,K=/LA/Ldg,F=CAI005,T=CAI005,K=/LA/AccCde,F=001/2022,T=012/2022,K=/LA/Prd,F=P,T=PINV,K=/LA/JnlTyp,F=&lt;ALL&gt;,K=/LA/Alc,F=&lt;ALL&gt;,T=&lt;ALL&gt;,K=/LA/JnlSrc,F=AineMaire Ni Dhorain,T=AineMaire Ni Dhorain,K=/LA/CA/Nme,E=1,O=/LA/BseAmt,XLBVal:6"&amp;"=-500.000",)</f>
        <v>-500</v>
      </c>
    </row>
    <row r="430" spans="1:3" x14ac:dyDescent="0.25">
      <c r="A430" s="9" t="s">
        <v>892</v>
      </c>
      <c r="B430" s="9" t="s">
        <v>893</v>
      </c>
      <c r="C430" s="16">
        <f>[1]!QAA_AGG("1,2,SS6,LA,F=KCA,K=DbC,F=A,K=/LA/Ldg,F=CEX004,T=CEX004,K=/LA/AccCde,F=001/2022,T=012/2022,K=/LA/Prd,F=P,T=PINV,K=/LA/JnlTyp,F=&lt;ALL&gt;,K=/LA/Alc,F=&lt;ALL&gt;,T=&lt;ALL&gt;,K=/LA/JnlSrc,F=Exploration Dome,T=Exploration Dome,K=/LA/CA/Nme,E=1,O=/LA/BseAmt,XLBVal:6=-500.00"&amp;"0",)</f>
        <v>-500</v>
      </c>
    </row>
    <row r="431" spans="1:3" x14ac:dyDescent="0.25">
      <c r="A431" s="9" t="s">
        <v>894</v>
      </c>
      <c r="B431" s="9" t="s">
        <v>895</v>
      </c>
      <c r="C431" s="16">
        <f>[1]!QAA_AGG("1,2,SS6,LA,F=KCA,K=DbC,F=A,K=/LA/Ldg,F=CCI027,T=CCI027,K=/LA/AccCde,F=001/2022,T=012/2022,K=/LA/Prd,F=P,T=PINV,K=/LA/JnlTyp,F=&lt;ALL&gt;,K=/LA/Alc,F=&lt;ALL&gt;,T=&lt;ALL&gt;,K=/LA/JnlSrc,F=CIDESCO SECTION IRELAND LTD,T=CIDESCO SECTION IRELAND LTD,K=/LA/CA/Nme,E=1,O=/LA/B"&amp;"seAmt,XLBVal:6=-500.000",)</f>
        <v>-500</v>
      </c>
    </row>
    <row r="432" spans="1:3" x14ac:dyDescent="0.25">
      <c r="A432" s="9" t="s">
        <v>870</v>
      </c>
      <c r="B432" s="9" t="s">
        <v>342</v>
      </c>
      <c r="C432" s="16">
        <f>[1]!QAA_AGG("1,2,SS6,LA,F=KCA,K=DbC,F=A,K=/LA/Ldg,F=CCA251,T=CCA251,K=/LA/AccCde,F=001/2022,T=012/2022,K=/LA/Prd,F=P,T=PINV,K=/LA/JnlTyp,F=&lt;ALL&gt;,K=/LA/Alc,F=&lt;ALL&gt;,T=&lt;ALL&gt;,K=/LA/JnlSrc,F=CAULFIELDS SUPERVALU,T=CAULFIELDS SUPERVALU,K=/LA/CA/Nme,E=1,O=/LA/BseAmt,XLBVal:6"&amp;"=-497.160",)</f>
        <v>-497.16</v>
      </c>
    </row>
    <row r="433" spans="1:3" x14ac:dyDescent="0.25">
      <c r="A433" s="9" t="s">
        <v>900</v>
      </c>
      <c r="B433" s="9" t="s">
        <v>901</v>
      </c>
      <c r="C433" s="16">
        <f>[1]!QAA_AGG("1,2,SS6,LA,F=KCA,K=DbC,F=A,K=/LA/Ldg,F=CFA017,T=CFA017,K=/LA/AccCde,F=001/2022,T=012/2022,K=/LA/Prd,F=P,T=PINV,K=/LA/JnlTyp,F=&lt;ALL&gt;,K=/LA/Alc,F=&lt;ALL&gt;,T=&lt;ALL&gt;,K=/LA/JnlSrc,F=FOOTBALL ASSOCIATION OF IRELAND,T=FOOTBALL ASSOCIATION OF IRELAND,K=/LA/CA/Nme,E=1"&amp;",O=/LA/BseAmt,XLBVal:6=-495.000",)</f>
        <v>-495</v>
      </c>
    </row>
    <row r="434" spans="1:3" x14ac:dyDescent="0.25">
      <c r="A434" s="9" t="s">
        <v>902</v>
      </c>
      <c r="B434" s="9" t="s">
        <v>903</v>
      </c>
      <c r="C434" s="16">
        <f>[1]!QAA_AGG("1,2,SS6,LA,F=KCA,K=DbC,F=A,K=/LA/Ldg,F=CRO079,T=CRO079,K=/LA/AccCde,F=001/2022,T=012/2022,K=/LA/Prd,F=P,T=PINV,K=/LA/JnlTyp,F=&lt;ALL&gt;,K=/LA/Alc,F=&lt;ALL&gt;,T=&lt;ALL&gt;,K=/LA/JnlSrc,F=ROSBERCON HALL AND SPORTS CENTRE,T=ROSBERCON HALL AND SPORTS CENTRE,K=/LA/CA/Nme,E"&amp;"=1,O=/LA/BseAmt,XLBVal:6=-495.000",)</f>
        <v>-495</v>
      </c>
    </row>
    <row r="435" spans="1:3" x14ac:dyDescent="0.25">
      <c r="A435" s="9" t="s">
        <v>1173</v>
      </c>
      <c r="B435" s="9" t="s">
        <v>1174</v>
      </c>
      <c r="C435" s="16">
        <f>[1]!QAA_AGG("1,2,SS6,LA,F=KCA,K=DbC,F=A,K=/LA/Ldg,F=CCO114,T=CCO114,K=/LA/AccCde,F=001/2022,T=012/2022,K=/LA/Prd,F=P,T=PINV,K=/LA/JnlTyp,F=&lt;ALL&gt;,K=/LA/Alc,F=&lt;ALL&gt;,T=&lt;ALL&gt;,K=/LA/JnlSrc,F=COLM RICE,T=COLM RICE,K=/LA/CA/Nme,E=1,O=/LA/BseAmt,XLBVal:6=-491.100",)</f>
        <v>-491.1</v>
      </c>
    </row>
    <row r="436" spans="1:3" x14ac:dyDescent="0.25">
      <c r="A436" s="9" t="s">
        <v>906</v>
      </c>
      <c r="B436" s="9" t="s">
        <v>907</v>
      </c>
      <c r="C436" s="16">
        <f>[1]!QAA_AGG("1,2,SS6,LA,F=KCA,K=DbC,F=A,K=/LA/Ldg,F=CSE002,T=CSE002,K=/LA/AccCde,F=001/2022,T=012/2022,K=/LA/Prd,F=P,T=PINV,K=/LA/JnlTyp,F=&lt;ALL&gt;,K=/LA/Alc,F=&lt;ALL&gt;,T=&lt;ALL&gt;,K=/LA/JnlSrc,F=Select Access Premier Solutions Ltd t/a,T=Select Access Premier Solutions Ltd t/a,"&amp;"K=/LA/CA/Nme,E=1,O=/LA/BseAmt,XLBVal:6=-485.850",)</f>
        <v>-485.85</v>
      </c>
    </row>
    <row r="437" spans="1:3" x14ac:dyDescent="0.25">
      <c r="A437" s="9" t="s">
        <v>908</v>
      </c>
      <c r="B437" s="9" t="s">
        <v>909</v>
      </c>
      <c r="C437" s="16">
        <f>[1]!QAA_AGG("1,2,SS6,LA,F=KCA,K=DbC,F=A,K=/LA/Ldg,F=CTH009,T=CTH009,K=/LA/AccCde,F=001/2022,T=012/2022,K=/LA/Prd,F=P,T=PINV,K=/LA/JnlTyp,F=&lt;ALL&gt;,K=/LA/Alc,F=&lt;ALL&gt;,T=&lt;ALL&gt;,K=/LA/JnlSrc,F=THOMAS SUNDERLAND,T=THOMAS SUNDERLAND,K=/LA/CA/Nme,E=1,O=/LA/BseAmt,XLBVal:6=-482."&amp;"380",)</f>
        <v>-482.38</v>
      </c>
    </row>
    <row r="438" spans="1:3" x14ac:dyDescent="0.25">
      <c r="A438" s="9" t="s">
        <v>864</v>
      </c>
      <c r="B438" s="9" t="s">
        <v>865</v>
      </c>
      <c r="C438" s="16">
        <f>[1]!QAA_AGG("1,2,SS6,LA,F=KCA,K=DbC,F=A,K=/LA/Ldg,F=CMI199,T=CMI199,K=/LA/AccCde,F=001/2022,T=012/2022,K=/LA/Prd,F=P,T=PINV,K=/LA/JnlTyp,F=&lt;ALL&gt;,K=/LA/Alc,F=&lt;ALL&gt;,T=&lt;ALL&gt;,K=/LA/JnlSrc,F=MICHELLE O'BRIEN COUNSELLING &amp; PSYCHOTHERAPY,T=MICHELLE O'BRIEN COUNSELLING &amp; PSYC"&amp;"HOTHERAPY,K=/LA/CA/Nme,E=1,O=/LA/BseAmt,XLBVal:6=-480.000",)</f>
        <v>-480</v>
      </c>
    </row>
    <row r="439" spans="1:3" x14ac:dyDescent="0.25">
      <c r="A439" s="9" t="s">
        <v>910</v>
      </c>
      <c r="B439" s="9" t="s">
        <v>911</v>
      </c>
      <c r="C439" s="16">
        <f>[1]!QAA_AGG("1,2,SS6,LA,F=KCA,K=DbC,F=A,K=/LA/Ldg,F=CAJ004,T=CAJ004,K=/LA/AccCde,F=001/2022,T=012/2022,K=/LA/Prd,F=P,T=PINV,K=/LA/JnlTyp,F=&lt;ALL&gt;,K=/LA/Alc,F=&lt;ALL&gt;,T=&lt;ALL&gt;,K=/LA/JnlSrc,F=AJ PRODUCTS (IRELAND) LTD,T=AJ PRODUCTS (IRELAND) LTD,K=/LA/CA/Nme,E=1,O=/LA/BseAm"&amp;"t,XLBVal:6=-479.700",)</f>
        <v>-479.7</v>
      </c>
    </row>
    <row r="440" spans="1:3" x14ac:dyDescent="0.25">
      <c r="A440" s="9" t="s">
        <v>912</v>
      </c>
      <c r="B440" s="9" t="s">
        <v>913</v>
      </c>
      <c r="C440" s="16">
        <f>[1]!QAA_AGG("1,2,SS6,LA,F=KCA,K=DbC,F=A,K=/LA/Ldg,F=CRO007,T=CRO007,K=/LA/AccCde,F=001/2022,T=012/2022,K=/LA/Prd,F=P,T=PINV,K=/LA/JnlTyp,F=&lt;ALL&gt;,K=/LA/Alc,F=&lt;ALL&gt;,T=&lt;ALL&gt;,K=/LA/JnlSrc,F=Robert Seale Ltd.{Cm} t/a One Photographic,T=Robert Seale Ltd.{Cm} t/a One Photogr"&amp;"aphic,K=/LA/CA/Nme,E=1,O=/LA/BseAmt,XLBVal:6=-477.240",)</f>
        <v>-477.24</v>
      </c>
    </row>
    <row r="441" spans="1:3" x14ac:dyDescent="0.25">
      <c r="A441" s="9" t="s">
        <v>122</v>
      </c>
      <c r="B441" s="9" t="s">
        <v>123</v>
      </c>
      <c r="C441" s="16">
        <f>[1]!QAA_AGG("1,2,SS6,LA,F=KCA,K=DbC,F=A,K=/LA/Ldg,F=CSA001,T=CSA001,K=/LA/AccCde,F=001/2022,T=012/2022,K=/LA/Prd,F=P,T=PINV,K=/LA/JnlTyp,F=&lt;ALL&gt;,K=/LA/Alc,F=&lt;ALL&gt;,T=&lt;ALL&gt;,K=/LA/JnlSrc,F=SAGE IRELAND,T=SAGE IRELAND,K=/LA/CA/Nme,E=1,O=/LA/BseAmt,XLBVal:6=-477.240",)</f>
        <v>-477.24</v>
      </c>
    </row>
    <row r="442" spans="1:3" x14ac:dyDescent="0.25">
      <c r="A442" s="9" t="s">
        <v>958</v>
      </c>
      <c r="B442" s="9" t="s">
        <v>959</v>
      </c>
      <c r="C442" s="16">
        <f>[1]!QAA_AGG("1,2,SS6,LA,F=KCA,K=DbC,F=A,K=/LA/Ldg,F=COR011,T=COR011,K=/LA/AccCde,F=001/2022,T=012/2022,K=/LA/Prd,F=P,T=PINV,K=/LA/JnlTyp,F=&lt;ALL&gt;,K=/LA/Alc,F=&lt;ALL&gt;,T=&lt;ALL&gt;,K=/LA/JnlSrc,F=TRADE ELECTRIC (KILKENNY) LTD,T=TRADE ELECTRIC (KILKENNY) LTD,K=/LA/CA/Nme,E=1,O=/"&amp;"LA/BseAmt,XLBVal:6=-474.440",)</f>
        <v>-474.44</v>
      </c>
    </row>
    <row r="443" spans="1:3" x14ac:dyDescent="0.25">
      <c r="A443" s="9" t="s">
        <v>118</v>
      </c>
      <c r="B443" s="9" t="s">
        <v>914</v>
      </c>
      <c r="C443" s="16">
        <f>[1]!QAA_AGG("1,2,SS6,LA,F=KCA,K=DbC,F=A,K=/LA/Ldg,F=CSO001,T=CSO001,K=/LA/AccCde,F=001/2022,T=012/2022,K=/LA/Prd,F=P,T=PINV,K=/LA/JnlTyp,F=&lt;ALL&gt;,K=/LA/Alc,F=&lt;ALL&gt;,T=&lt;ALL&gt;,K=/LA/JnlSrc,F=Sophie Treacy,T=Sophie Treacy,K=/LA/CA/Nme,E=1,O=/LA/BseAmt,XLBVal:6=-468.000",)</f>
        <v>-468</v>
      </c>
    </row>
    <row r="444" spans="1:3" x14ac:dyDescent="0.25">
      <c r="A444" s="9" t="s">
        <v>38</v>
      </c>
      <c r="B444" s="9" t="s">
        <v>915</v>
      </c>
      <c r="C444" s="16">
        <f>[1]!QAA_AGG("1,2,SS6,LA,F=KCA,K=DbC,F=A,K=/LA/Ldg,F=CCA001,T=CCA001,K=/LA/AccCde,F=001/2022,T=012/2022,K=/LA/Prd,F=P,T=PINV,K=/LA/JnlTyp,F=&lt;ALL&gt;,K=/LA/Alc,F=&lt;ALL&gt;,T=&lt;ALL&gt;,K=/LA/JnlSrc,F=CALOR KOSANGAS,T=CALOR KOSANGAS,K=/LA/CA/Nme,E=1,O=/LA/BseAmt,XLBVal:6=-467.470",)</f>
        <v>-467.47</v>
      </c>
    </row>
    <row r="445" spans="1:3" x14ac:dyDescent="0.25">
      <c r="A445" s="9" t="s">
        <v>916</v>
      </c>
      <c r="B445" s="9" t="s">
        <v>97</v>
      </c>
      <c r="C445" s="16">
        <f>[1]!QAA_AGG("1,2,SS6,LA,F=KCA,K=DbC,F=A,K=/LA/Ldg,F=CPA091,T=CPA091,K=/LA/AccCde,F=001/2022,T=012/2022,K=/LA/Prd,F=P,T=PINV,K=/LA/JnlTyp,F=&lt;ALL&gt;,K=/LA/Alc,F=&lt;ALL&gt;,T=&lt;ALL&gt;,K=/LA/JnlSrc,F=PAT BOLGER ENGINEERING SERVICES,T=PAT BOLGER ENGINEERING SERVICES,K=/LA/CA/Nme,E=1"&amp;",O=/LA/BseAmt,XLBVal:6=-465.350",)</f>
        <v>-465.35</v>
      </c>
    </row>
    <row r="446" spans="1:3" x14ac:dyDescent="0.25">
      <c r="A446" s="9" t="s">
        <v>917</v>
      </c>
      <c r="B446" s="9" t="s">
        <v>918</v>
      </c>
      <c r="C446" s="16">
        <f>[1]!QAA_AGG("1,2,SS6,LA,F=KCA,K=DbC,F=A,K=/LA/Ldg,F=CNO056,T=CNO056,K=/LA/AccCde,F=001/2022,T=012/2022,K=/LA/Prd,F=P,T=PINV,K=/LA/JnlTyp,F=&lt;ALL&gt;,K=/LA/Alc,F=&lt;ALL&gt;,T=&lt;ALL&gt;,K=/LA/JnlSrc,F=NOLAN QUANTITY SURVEYORS T/A AIDAN NOLAN &amp; ASSOC,T=NOLAN QUANTITY SURVEYORS T/A AI"&amp;"DAN NOLAN &amp; ASSOC,K=/LA/CA/Nme,E=1,O=/LA/BseAmt,XLBVal:6=-463.500",)</f>
        <v>-463.5</v>
      </c>
    </row>
    <row r="447" spans="1:3" x14ac:dyDescent="0.25">
      <c r="A447" s="9" t="s">
        <v>919</v>
      </c>
      <c r="B447" s="9" t="s">
        <v>920</v>
      </c>
      <c r="C447" s="16">
        <f>[1]!QAA_AGG("1,2,SS6,LA,F=KCA,K=DbC,F=A,K=/LA/Ldg,F=CNI028,T=CNI028,K=/LA/AccCde,F=001/2022,T=012/2022,K=/LA/Prd,F=P,T=PINV,K=/LA/JnlTyp,F=&lt;ALL&gt;,K=/LA/Alc,F=&lt;ALL&gt;,T=&lt;ALL&gt;,K=/LA/JnlSrc,F=NILMACK NILFISK LTD,T=NILMACK NILFISK LTD,K=/LA/CA/Nme,E=1,O=/LA/BseAmt,XLBVal:6=-"&amp;"460.020",)</f>
        <v>-460.02</v>
      </c>
    </row>
    <row r="448" spans="1:3" x14ac:dyDescent="0.25">
      <c r="A448" s="9" t="s">
        <v>43</v>
      </c>
      <c r="B448" s="9" t="s">
        <v>891</v>
      </c>
      <c r="C448" s="16">
        <f>[1]!QAA_AGG("1,2,SS6,LA,F=KCA,K=DbC,F=A,K=/LA/Ldg,F=CDC003,T=CDC003,K=/LA/AccCde,F=001/2022,T=012/2022,K=/LA/Prd,F=P,T=PINV,K=/LA/JnlTyp,F=&lt;ALL&gt;,K=/LA/Alc,F=&lt;ALL&gt;,T=&lt;ALL&gt;,K=/LA/JnlSrc,F=DCM Learning,T=DCM Learning,K=/LA/CA/Nme,E=1,O=/LA/BseAmt,XLBVal:6=-460.000",)</f>
        <v>-460</v>
      </c>
    </row>
    <row r="449" spans="1:3" x14ac:dyDescent="0.25">
      <c r="A449" s="9" t="s">
        <v>921</v>
      </c>
      <c r="B449" s="9" t="s">
        <v>922</v>
      </c>
      <c r="C449" s="16">
        <f>[1]!QAA_AGG("1,2,SS6,LA,F=KCA,K=DbC,F=A,K=/LA/Ldg,F=COF000,T=COF000,K=/LA/AccCde,F=001/2022,T=012/2022,K=/LA/Prd,F=P,T=PINV,K=/LA/JnlTyp,F=&lt;ALL&gt;,K=/LA/Alc,F=&lt;ALL&gt;,T=&lt;ALL&gt;,K=/LA/JnlSrc,F=OFFTECH LTD,T=OFFTECH LTD,K=/LA/CA/Nme,E=1,O=/LA/BseAmt,XLBVal:6=-455.100",)</f>
        <v>-455.1</v>
      </c>
    </row>
    <row r="450" spans="1:3" x14ac:dyDescent="0.25">
      <c r="A450" s="9" t="s">
        <v>923</v>
      </c>
      <c r="B450" s="9" t="s">
        <v>924</v>
      </c>
      <c r="C450" s="16">
        <f>[1]!QAA_AGG("1,2,SS6,LA,F=KCA,K=DbC,F=A,K=/LA/Ldg,F=CAL015,T=CAL015,K=/LA/AccCde,F=001/2022,T=012/2022,K=/LA/Prd,F=P,T=PINV,K=/LA/JnlTyp,F=&lt;ALL&gt;,K=/LA/Alc,F=&lt;ALL&gt;,T=&lt;ALL&gt;,K=/LA/JnlSrc,F=Alexandra Malone,T=Alexandra Malone,K=/LA/CA/Nme,E=1,O=/LA/BseAmt,XLBVal:6=-455.00"&amp;"0",)</f>
        <v>-455</v>
      </c>
    </row>
    <row r="451" spans="1:3" x14ac:dyDescent="0.25">
      <c r="A451" s="9" t="s">
        <v>925</v>
      </c>
      <c r="B451" s="9" t="s">
        <v>926</v>
      </c>
      <c r="C451" s="16">
        <f>[1]!QAA_AGG("1,2,SS6,LA,F=KCA,K=DbC,F=A,K=/LA/Ldg,F=CTH224,T=CTH224,K=/LA/AccCde,F=001/2022,T=012/2022,K=/LA/Prd,F=P,T=PINV,K=/LA/JnlTyp,F=&lt;ALL&gt;,K=/LA/Alc,F=&lt;ALL&gt;,T=&lt;ALL&gt;,K=/LA/JnlSrc,F=THE MOBILE MUSIC SCHOOL,T=THE MOBILE MUSIC SCHOOL,K=/LA/CA/Nme,E=1,O=/LA/BseAmt,XL"&amp;"BVal:6=-455.000",)</f>
        <v>-455</v>
      </c>
    </row>
    <row r="452" spans="1:3" x14ac:dyDescent="0.25">
      <c r="A452" s="9" t="s">
        <v>927</v>
      </c>
      <c r="B452" s="9" t="s">
        <v>928</v>
      </c>
      <c r="C452" s="16">
        <f>[1]!QAA_AGG("1,2,SS6,LA,F=KCA,K=DbC,F=A,K=/LA/Ldg,F=CEA033,T=CEA033,K=/LA/AccCde,F=001/2022,T=012/2022,K=/LA/Prd,F=P,T=PINV,K=/LA/JnlTyp,F=&lt;ALL&gt;,K=/LA/Alc,F=&lt;ALL&gt;,T=&lt;ALL&gt;,K=/LA/JnlSrc,F=EASY FLOW SOLUTIONS,T=EASY FLOW SOLUTIONS,K=/LA/CA/Nme,E=1,O=/LA/BseAmt,XLBVal:6=-"&amp;"454.000",)</f>
        <v>-454</v>
      </c>
    </row>
    <row r="453" spans="1:3" x14ac:dyDescent="0.25">
      <c r="A453" s="9" t="s">
        <v>904</v>
      </c>
      <c r="B453" s="9" t="s">
        <v>905</v>
      </c>
      <c r="C453" s="16">
        <f>[1]!QAA_AGG("1,2,SS6,LA,F=KCA,K=DbC,F=A,K=/LA/Ldg,F=CWO017,T=CWO017,K=/LA/AccCde,F=001/2022,T=012/2022,K=/LA/Prd,F=P,T=PINV,K=/LA/JnlTyp,F=&lt;ALL&gt;,K=/LA/Alc,F=&lt;ALL&gt;,T=&lt;ALL&gt;,K=/LA/JnlSrc,F=WORD PERFECT TRANSLATION SERVICES,T=WORD PERFECT TRANSLATION SERVICES,K=/LA/CA/Nme"&amp;",E=1,O=/LA/BseAmt,XLBVal:6=-453.710",)</f>
        <v>-453.71</v>
      </c>
    </row>
    <row r="454" spans="1:3" x14ac:dyDescent="0.25">
      <c r="A454" s="9" t="s">
        <v>929</v>
      </c>
      <c r="B454" s="9" t="s">
        <v>930</v>
      </c>
      <c r="C454" s="16">
        <f>[1]!QAA_AGG("1,2,SS6,LA,F=KCA,K=DbC,F=A,K=/LA/Ldg,F=CRD001,T=CRD001,K=/LA/AccCde,F=001/2022,T=012/2022,K=/LA/Prd,F=P,T=PINV,K=/LA/JnlTyp,F=&lt;ALL&gt;,K=/LA/Alc,F=&lt;ALL&gt;,T=&lt;ALL&gt;,K=/LA/JnlSrc,F=RD PLUMBING AND HEATING,T=RD PLUMBING AND HEATING,K=/LA/CA/Nme,E=1,O=/LA/BseAmt,XL"&amp;"BVal:6=-452.510",)</f>
        <v>-452.51</v>
      </c>
    </row>
    <row r="455" spans="1:3" x14ac:dyDescent="0.25">
      <c r="A455" s="9" t="s">
        <v>935</v>
      </c>
      <c r="B455" s="9" t="s">
        <v>936</v>
      </c>
      <c r="C455" s="16">
        <f>[1]!QAA_AGG("1,2,SS6,LA,F=KCA,K=DbC,F=A,K=/LA/Ldg,F=CPR038,T=CPR038,K=/LA/AccCde,F=001/2022,T=012/2022,K=/LA/Prd,F=P,T=PINV,K=/LA/JnlTyp,F=&lt;ALL&gt;,K=/LA/Alc,F=&lt;ALL&gt;,T=&lt;ALL&gt;,K=/LA/JnlSrc,F=PROGAS LTD.,T=PROGAS LTD.,K=/LA/CA/Nme,E=1,O=/LA/BseAmt,XLBVal:6=-450.000",)</f>
        <v>-450</v>
      </c>
    </row>
    <row r="456" spans="1:3" x14ac:dyDescent="0.25">
      <c r="A456" s="9" t="s">
        <v>933</v>
      </c>
      <c r="B456" s="9" t="s">
        <v>934</v>
      </c>
      <c r="C456" s="16">
        <f>[1]!QAA_AGG("1,2,SS6,LA,F=KCA,K=DbC,F=A,K=/LA/Ldg,F=CLA095,T=CLA095,K=/LA/AccCde,F=001/2022,T=012/2022,K=/LA/Prd,F=P,T=PINV,K=/LA/JnlTyp,F=&lt;ALL&gt;,K=/LA/Alc,F=&lt;ALL&gt;,T=&lt;ALL&gt;,K=/LA/JnlSrc,F=LAWED LIMITED,T=LAWED LIMITED,K=/LA/CA/Nme,E=1,O=/LA/BseAmt,XLBVal:6=-450.000",)</f>
        <v>-450</v>
      </c>
    </row>
    <row r="457" spans="1:3" x14ac:dyDescent="0.25">
      <c r="A457" s="9" t="s">
        <v>937</v>
      </c>
      <c r="B457" s="9" t="s">
        <v>938</v>
      </c>
      <c r="C457" s="16">
        <f>[1]!QAA_AGG("1,2,SS6,LA,F=KCA,K=DbC,F=A,K=/LA/Ldg,F=CSJ001,T=CSJ001,K=/LA/AccCde,F=001/2022,T=012/2022,K=/LA/Prd,F=P,T=PINV,K=/LA/JnlTyp,F=&lt;ALL&gt;,K=/LA/Alc,F=&lt;ALL&gt;,T=&lt;ALL&gt;,K=/LA/JnlSrc,F=Sarah Jane Maher,T=Sarah Jane Maher,K=/LA/CA/Nme,E=1,O=/LA/BseAmt,XLBVal:6=-450.00"&amp;"0",)</f>
        <v>-450</v>
      </c>
    </row>
    <row r="458" spans="1:3" x14ac:dyDescent="0.25">
      <c r="A458" s="9" t="s">
        <v>939</v>
      </c>
      <c r="B458" s="9" t="s">
        <v>940</v>
      </c>
      <c r="C458" s="16">
        <f>[1]!QAA_AGG("1,2,SS6,LA,F=KCA,K=DbC,F=A,K=/LA/Ldg,F=CLO001,T=CLO001,K=/LA/AccCde,F=001/2022,T=012/2022,K=/LA/Prd,F=P,T=PINV,K=/LA/JnlTyp,F=&lt;ALL&gt;,K=/LA/Alc,F=&lt;ALL&gt;,T=&lt;ALL&gt;,K=/LA/JnlSrc,F=Locks and Hardware Ltd,T=Locks and Hardware Ltd,K=/LA/CA/Nme,E=1,O=/LA/BseAmt,XLBV"&amp;"al:6=-440.590",)</f>
        <v>-440.59</v>
      </c>
    </row>
    <row r="459" spans="1:3" x14ac:dyDescent="0.25">
      <c r="A459" s="9" t="s">
        <v>943</v>
      </c>
      <c r="B459" s="9" t="s">
        <v>944</v>
      </c>
      <c r="C459" s="16">
        <f>[1]!QAA_AGG("1,2,SS6,LA,F=KCA,K=DbC,F=A,K=/LA/Ldg,F=CAM044,T=CAM044,K=/LA/AccCde,F=001/2022,T=012/2022,K=/LA/Prd,F=P,T=PINV,K=/LA/JnlTyp,F=&lt;ALL&gt;,K=/LA/Alc,F=&lt;ALL&gt;,T=&lt;ALL&gt;,K=/LA/JnlSrc,F=AMPM SECURITY LTD T/A PM SECURITY,T=AMPM SECURITY LTD T/A PM SECURITY,K=/LA/CA/Nme"&amp;",E=1,O=/LA/BseAmt,XLBVal:6=-440.400",)</f>
        <v>-440.4</v>
      </c>
    </row>
    <row r="460" spans="1:3" x14ac:dyDescent="0.25">
      <c r="A460" s="9" t="s">
        <v>947</v>
      </c>
      <c r="B460" s="9" t="s">
        <v>948</v>
      </c>
      <c r="C460" s="16">
        <f>[1]!QAA_AGG("1,2,SS6,LA,F=KCA,K=DbC,F=A,K=/LA/Ldg,F=CPA133,T=CPA133,K=/LA/AccCde,F=001/2022,T=012/2022,K=/LA/Prd,F=P,T=PINV,K=/LA/JnlTyp,F=&lt;ALL&gt;,K=/LA/Alc,F=&lt;ALL&gt;,T=&lt;ALL&gt;,K=/LA/JnlSrc,F=PAULS LTD,T=PAULS LTD,K=/LA/CA/Nme,E=1,O=/LA/BseAmt,XLBVal:6=-432.130",)</f>
        <v>-432.13</v>
      </c>
    </row>
    <row r="461" spans="1:3" x14ac:dyDescent="0.25">
      <c r="A461" s="9" t="s">
        <v>30</v>
      </c>
      <c r="B461" s="9" t="s">
        <v>949</v>
      </c>
      <c r="C461" s="16">
        <f>[1]!QAA_AGG("1,2,SS6,LA,F=KCA,K=DbC,F=A,K=/LA/Ldg,F=CTH007,T=CTH007,K=/LA/AccCde,F=001/2022,T=012/2022,K=/LA/Prd,F=P,T=PINV,K=/LA/JnlTyp,F=&lt;ALL&gt;,K=/LA/Alc,F=&lt;ALL&gt;,T=&lt;ALL&gt;,K=/LA/JnlSrc,F=The Haven Clinic,T=The Haven Clinic,K=/LA/CA/Nme,E=1,O=/LA/BseAmt,XLBVal:6=-432.00"&amp;"0",)</f>
        <v>-432</v>
      </c>
    </row>
    <row r="462" spans="1:3" x14ac:dyDescent="0.25">
      <c r="A462" s="9" t="s">
        <v>950</v>
      </c>
      <c r="B462" s="9" t="s">
        <v>951</v>
      </c>
      <c r="C462" s="16">
        <f>[1]!QAA_AGG("1,2,SS6,LA,F=KCA,K=DbC,F=A,K=/LA/Ldg,F=CEV010,T=CEV010,K=/LA/AccCde,F=001/2022,T=012/2022,K=/LA/Prd,F=P,T=PINV,K=/LA/JnlTyp,F=&lt;ALL&gt;,K=/LA/Alc,F=&lt;ALL&gt;,T=&lt;ALL&gt;,K=/LA/JnlSrc,F=Evcom Consulting Ltd.{Cm},T=Evcom Consulting Ltd.{Cm},K=/LA/CA/Nme,E=1,O=/LA/BseAm"&amp;"t,XLBVal:6=-430.500",)</f>
        <v>-430.5</v>
      </c>
    </row>
    <row r="463" spans="1:3" x14ac:dyDescent="0.25">
      <c r="A463" s="9" t="s">
        <v>953</v>
      </c>
      <c r="B463" s="9" t="s">
        <v>954</v>
      </c>
      <c r="C463" s="16">
        <f>[1]!QAA_AGG("1,2,SS6,LA,F=KCA,K=DbC,F=A,K=/LA/Ldg,F=COS001,T=COS001,K=/LA/AccCde,F=001/2022,T=012/2022,K=/LA/Prd,F=P,T=PINV,K=/LA/JnlTyp,F=&lt;ALL&gt;,K=/LA/Alc,F=&lt;ALL&gt;,T=&lt;ALL&gt;,K=/LA/JnlSrc,F=O'Sullivan Solutions,T=O'Sullivan Solutions,K=/LA/CA/Nme,E=1,O=/LA/BseAmt,XLBVal:6"&amp;"=-429.000",)</f>
        <v>-429</v>
      </c>
    </row>
    <row r="464" spans="1:3" x14ac:dyDescent="0.25">
      <c r="A464" s="9" t="s">
        <v>84</v>
      </c>
      <c r="B464" s="9" t="s">
        <v>955</v>
      </c>
      <c r="C464" s="16">
        <f>[1]!QAA_AGG("1,2,SS6,LA,F=KCA,K=DbC,F=A,K=/LA/Ldg,F=CET000,T=CET000,K=/LA/AccCde,F=001/2022,T=012/2022,K=/LA/Prd,F=P,T=PINV,K=/LA/JnlTyp,F=&lt;ALL&gt;,K=/LA/Alc,F=&lt;ALL&gt;,T=&lt;ALL&gt;,K=/LA/JnlSrc,F=ETC CONSULT,T=ETC CONSULT,K=/LA/CA/Nme,E=1,O=/LA/BseAmt,XLBVal:6=-425.360",)</f>
        <v>-425.36</v>
      </c>
    </row>
    <row r="465" spans="1:3" x14ac:dyDescent="0.25">
      <c r="A465" s="9" t="s">
        <v>956</v>
      </c>
      <c r="B465" s="9" t="s">
        <v>957</v>
      </c>
      <c r="C465" s="16">
        <f>[1]!QAA_AGG("1,2,SS6,LA,F=KCA,K=DbC,F=A,K=/LA/Ldg,F=CDG002,T=CDG002,K=/LA/AccCde,F=001/2022,T=012/2022,K=/LA/Prd,F=P,T=PINV,K=/LA/JnlTyp,F=&lt;ALL&gt;,K=/LA/Alc,F=&lt;ALL&gt;,T=&lt;ALL&gt;,K=/LA/JnlSrc,F=DGM PHOTOGRAPHIC,T=DGM PHOTOGRAPHIC,K=/LA/CA/Nme,E=1,O=/LA/BseAmt,XLBVal:6=-425.00"&amp;"0",)</f>
        <v>-425</v>
      </c>
    </row>
    <row r="466" spans="1:3" x14ac:dyDescent="0.25">
      <c r="A466" s="9" t="s">
        <v>960</v>
      </c>
      <c r="B466" s="9" t="s">
        <v>961</v>
      </c>
      <c r="C466" s="16">
        <f>[1]!QAA_AGG("1,2,SS6,LA,F=KCA,K=DbC,F=A,K=/LA/Ldg,F=CCE008,T=CCE008,K=/LA/AccCde,F=001/2022,T=012/2022,K=/LA/Prd,F=P,T=PINV,K=/LA/JnlTyp,F=&lt;ALL&gt;,K=/LA/Alc,F=&lt;ALL&gt;,T=&lt;ALL&gt;,K=/LA/JnlSrc,F=Celebrate It,T=Celebrate It,K=/LA/CA/Nme,E=1,O=/LA/BseAmt,XLBVal:6=-418.000",)</f>
        <v>-418</v>
      </c>
    </row>
    <row r="467" spans="1:3" x14ac:dyDescent="0.25">
      <c r="A467" s="9" t="s">
        <v>962</v>
      </c>
      <c r="B467" s="9" t="s">
        <v>963</v>
      </c>
      <c r="C467" s="16">
        <f>[1]!QAA_AGG("1,2,SS6,LA,F=KCA,K=DbC,F=A,K=/LA/Ldg,F=CCA350,T=CCA350,K=/LA/AccCde,F=001/2022,T=012/2022,K=/LA/Prd,F=P,T=PINV,K=/LA/JnlTyp,F=&lt;ALL&gt;,K=/LA/Alc,F=&lt;ALL&gt;,T=&lt;ALL&gt;,K=/LA/JnlSrc,F=CARDIAC SERVICES,T=CARDIAC SERVICES,K=/LA/CA/Nme,E=1,O=/LA/BseAmt,XLBVal:6=-412.05"&amp;"0",)</f>
        <v>-412.05</v>
      </c>
    </row>
    <row r="468" spans="1:3" x14ac:dyDescent="0.25">
      <c r="A468" s="9" t="s">
        <v>931</v>
      </c>
      <c r="B468" s="9" t="s">
        <v>932</v>
      </c>
      <c r="C468" s="16">
        <f>[1]!QAA_AGG("1,2,SS6,LA,F=KCA,K=DbC,F=A,K=/LA/Ldg,F=CGA039,T=CGA039,K=/LA/AccCde,F=001/2022,T=012/2022,K=/LA/Prd,F=P,T=PINV,K=/LA/JnlTyp,F=&lt;ALL&gt;,K=/LA/Alc,F=&lt;ALL&gt;,T=&lt;ALL&gt;,K=/LA/JnlSrc,F=GARVEY GAS AND OIL SERVICES,T=GARVEY GAS AND OIL SERVICES,K=/LA/CA/Nme,E=1,O=/LA/B"&amp;"seAmt,XLBVal:6=-410.000",)</f>
        <v>-410</v>
      </c>
    </row>
    <row r="469" spans="1:3" x14ac:dyDescent="0.25">
      <c r="A469" s="9" t="s">
        <v>1280</v>
      </c>
      <c r="B469" s="9" t="s">
        <v>1281</v>
      </c>
      <c r="C469" s="16">
        <f>[1]!QAA_AGG("1,2,SS6,LA,F=KCA,K=DbC,F=A,K=/LA/Ldg,F=CLY004,T=CLY004,K=/LA/AccCde,F=001/2022,T=012/2022,K=/LA/Prd,F=P,T=PINV,K=/LA/JnlTyp,F=&lt;ALL&gt;,K=/LA/Alc,F=&lt;ALL&gt;,T=&lt;ALL&gt;,K=/LA/JnlSrc,F=LYONS GROUP SECURITY,T=LYONS GROUP SECURITY,K=/LA/CA/Nme,E=1,O=/LA/BseAmt,XLBVal:6"&amp;"=-408.930",)</f>
        <v>-408.93</v>
      </c>
    </row>
    <row r="470" spans="1:3" x14ac:dyDescent="0.25">
      <c r="A470" s="9" t="s">
        <v>40</v>
      </c>
      <c r="B470" s="9" t="s">
        <v>966</v>
      </c>
      <c r="C470" s="16">
        <f>[1]!QAA_AGG("1,2,SS6,LA,F=KCA,K=DbC,F=A,K=/LA/Ldg,F=CCO001,T=CCO001,K=/LA/AccCde,F=001/2022,T=012/2022,K=/LA/Prd,F=P,T=PINV,K=/LA/JnlTyp,F=&lt;ALL&gt;,K=/LA/Alc,F=&lt;ALL&gt;,T=&lt;ALL&gt;,K=/LA/JnlSrc,F=Costigan Agri Ltd,T=Costigan Agri Ltd,K=/LA/CA/Nme,E=1,O=/LA/BseAmt,XLBVal:6=-408."&amp;"600",)</f>
        <v>-408.6</v>
      </c>
    </row>
    <row r="471" spans="1:3" x14ac:dyDescent="0.25">
      <c r="A471" s="9" t="s">
        <v>967</v>
      </c>
      <c r="B471" s="9" t="s">
        <v>968</v>
      </c>
      <c r="C471" s="16">
        <f>[1]!QAA_AGG("1,2,SS6,LA,F=KCA,K=DbC,F=A,K=/LA/Ldg,F=CGL014,T=CGL014,K=/LA/AccCde,F=001/2022,T=012/2022,K=/LA/Prd,F=P,T=PINV,K=/LA/JnlTyp,F=&lt;ALL&gt;,K=/LA/Alc,F=&lt;ALL&gt;,T=&lt;ALL&gt;,K=/LA/JnlSrc,F=GLASNEVIN CEMETERIES TRUST,T=GLASNEVIN CEMETERIES TRUST,K=/LA/CA/Nme,E=1,O=/LA/Bse"&amp;"Amt,XLBVal:6=-406.000",)</f>
        <v>-406</v>
      </c>
    </row>
    <row r="472" spans="1:3" x14ac:dyDescent="0.25">
      <c r="A472" s="9" t="s">
        <v>969</v>
      </c>
      <c r="B472" s="9" t="s">
        <v>970</v>
      </c>
      <c r="C472" s="16">
        <f>[1]!QAA_AGG("1,2,SS6,LA,F=KCA,K=DbC,F=A,K=/LA/Ldg,F=CEA041,T=CEA041,K=/LA/AccCde,F=001/2022,T=012/2022,K=/LA/Prd,F=P,T=PINV,K=/LA/JnlTyp,F=&lt;ALL&gt;,K=/LA/Alc,F=&lt;ALL&gt;,T=&lt;ALL&gt;,K=/LA/JnlSrc,F=EASE,T=EASE,K=/LA/CA/Nme,E=1,O=/LA/BseAmt,XLBVal:6=-405.780",)</f>
        <v>-405.78</v>
      </c>
    </row>
    <row r="473" spans="1:3" x14ac:dyDescent="0.25">
      <c r="A473" s="9" t="s">
        <v>971</v>
      </c>
      <c r="B473" s="9" t="s">
        <v>972</v>
      </c>
      <c r="C473" s="16">
        <f>[1]!QAA_AGG("1,2,SS6,LA,F=KCA,K=DbC,F=A,K=/LA/Ldg,F=CCH002,T=CCH002,K=/LA/AccCde,F=001/2022,T=012/2022,K=/LA/Prd,F=P,T=PINV,K=/LA/JnlTyp,F=&lt;ALL&gt;,K=/LA/Alc,F=&lt;ALL&gt;,T=&lt;ALL&gt;,K=/LA/JnlSrc,F=Cheetah Electronics Ltd,T=Cheetah Electronics Ltd,K=/LA/CA/Nme,E=1,O=/LA/BseAmt,XL"&amp;"BVal:6=-400.000",)</f>
        <v>-400</v>
      </c>
    </row>
    <row r="474" spans="1:3" x14ac:dyDescent="0.25">
      <c r="A474" s="9" t="s">
        <v>973</v>
      </c>
      <c r="B474" s="9" t="s">
        <v>974</v>
      </c>
      <c r="C474" s="16">
        <f>[1]!QAA_AGG("1,2,SS6,LA,F=KCA,K=DbC,F=A,K=/LA/Ldg,F=CIN048,T=CIN048,K=/LA/AccCde,F=001/2022,T=012/2022,K=/LA/Prd,F=P,T=PINV,K=/LA/JnlTyp,F=&lt;ALL&gt;,K=/LA/Alc,F=&lt;ALL&gt;,T=&lt;ALL&gt;,K=/LA/JnlSrc,F=INSPIRELAND LTD,T=INSPIRELAND LTD,K=/LA/CA/Nme,E=1,O=/LA/BseAmt,XLBVal:6=-400.000",)</f>
        <v>-400</v>
      </c>
    </row>
    <row r="475" spans="1:3" x14ac:dyDescent="0.25">
      <c r="A475" s="9" t="s">
        <v>941</v>
      </c>
      <c r="B475" s="9" t="s">
        <v>942</v>
      </c>
      <c r="C475" s="16">
        <f>[1]!QAA_AGG("1,2,SS6,LA,F=KCA,K=DbC,F=A,K=/LA/Ldg,F=CKE010,T=CKE010,K=/LA/AccCde,F=001/2022,T=012/2022,K=/LA/Prd,F=P,T=PINV,K=/LA/JnlTyp,F=&lt;ALL&gt;,K=/LA/Alc,F=&lt;ALL&gt;,T=&lt;ALL&gt;,K=/LA/JnlSrc,F=Kelron Health &amp; Safety,T=Kelron Health &amp; Safety,K=/LA/CA/Nme,E=1,O=/LA/BseAmt,XLBV"&amp;"al:6=-400.000",)</f>
        <v>-400</v>
      </c>
    </row>
    <row r="476" spans="1:3" x14ac:dyDescent="0.25">
      <c r="A476" s="9" t="s">
        <v>945</v>
      </c>
      <c r="B476" s="9" t="s">
        <v>946</v>
      </c>
      <c r="C476" s="16">
        <f>[1]!QAA_AGG("1,2,SS6,LA,F=KCA,K=DbC,F=A,K=/LA/Ldg,F=CSE010,T=CSE010,K=/LA/AccCde,F=001/2022,T=012/2022,K=/LA/Prd,F=P,T=PINV,K=/LA/JnlTyp,F=&lt;ALL&gt;,K=/LA/Alc,F=&lt;ALL&gt;,T=&lt;ALL&gt;,K=/LA/JnlSrc,F=Seamus Cannon,T=Seamus Cannon,K=/LA/CA/Nme,E=1,O=/LA/BseAmt,XLBVal:6=-400.000",)</f>
        <v>-400</v>
      </c>
    </row>
    <row r="477" spans="1:3" x14ac:dyDescent="0.25">
      <c r="A477" s="9" t="s">
        <v>975</v>
      </c>
      <c r="B477" s="9" t="s">
        <v>976</v>
      </c>
      <c r="C477" s="16">
        <f>[1]!QAA_AGG("1,2,SS6,LA,F=KCA,K=DbC,F=A,K=/LA/Ldg,F=CMA265,T=CMA265,K=/LA/AccCde,F=001/2022,T=012/2022,K=/LA/Prd,F=P,T=PINV,K=/LA/JnlTyp,F=&lt;ALL&gt;,K=/LA/Alc,F=&lt;ALL&gt;,T=&lt;ALL&gt;,K=/LA/JnlSrc,F=MEUBLES,T=MEUBLES,K=/LA/CA/Nme,E=1,O=/LA/BseAmt,XLBVal:6=-396.000",)</f>
        <v>-396</v>
      </c>
    </row>
    <row r="478" spans="1:3" x14ac:dyDescent="0.25">
      <c r="A478" s="9" t="s">
        <v>977</v>
      </c>
      <c r="B478" s="9" t="s">
        <v>978</v>
      </c>
      <c r="C478" s="16">
        <f>[1]!QAA_AGG("1,2,SS6,LA,F=KCA,K=DbC,F=A,K=/LA/Ldg,F=CMI070,T=CMI070,K=/LA/AccCde,F=001/2022,T=012/2022,K=/LA/Prd,F=P,T=PINV,K=/LA/JnlTyp,F=&lt;ALL&gt;,K=/LA/Alc,F=&lt;ALL&gt;,T=&lt;ALL&gt;,K=/LA/JnlSrc,F=MICHAEL BROPHY PHOTOGRAPHY,T=MICHAEL BROPHY PHOTOGRAPHY,K=/LA/CA/Nme,E=1,O=/LA/Bse"&amp;"Amt,XLBVal:6=-393.700",)</f>
        <v>-393.7</v>
      </c>
    </row>
    <row r="479" spans="1:3" x14ac:dyDescent="0.25">
      <c r="A479" s="9" t="s">
        <v>107</v>
      </c>
      <c r="B479" s="9" t="s">
        <v>952</v>
      </c>
      <c r="C479" s="16">
        <f>[1]!QAA_AGG("1,2,SS6,LA,F=KCA,K=DbC,F=A,K=/LA/Ldg,F=CME035,T=CME035,K=/LA/AccCde,F=001/2022,T=012/2022,K=/LA/Prd,F=P,T=PINV,K=/LA/JnlTyp,F=&lt;ALL&gt;,K=/LA/Alc,F=&lt;ALL&gt;,T=&lt;ALL&gt;,K=/LA/JnlSrc,F=MEATH SPRINGBOARD,T=MEATH SPRINGBOARD,K=/LA/CA/Nme,E=1,O=/LA/BseAmt,XLBVal:6=-390."&amp;"000",)</f>
        <v>-390</v>
      </c>
    </row>
    <row r="480" spans="1:3" x14ac:dyDescent="0.25">
      <c r="A480" s="9" t="s">
        <v>979</v>
      </c>
      <c r="B480" s="9" t="s">
        <v>980</v>
      </c>
      <c r="C480" s="16">
        <f>[1]!QAA_AGG("1,2,SS6,LA,F=KCA,K=DbC,F=A,K=/LA/Ldg,F=CED053,T=CED053,K=/LA/AccCde,F=001/2022,T=012/2022,K=/LA/Prd,F=P,T=PINV,K=/LA/JnlTyp,F=&lt;ALL&gt;,K=/LA/Alc,F=&lt;ALL&gt;,T=&lt;ALL&gt;,K=/LA/JnlSrc,F=EDHHD TRADING LTD T/A IRISH ELECTRONICS,T=EDHHD TRADING LTD T/A IRISH ELECTRONICS,"&amp;"K=/LA/CA/Nme,E=1,O=/LA/BseAmt,XLBVal:6=-388.680",)</f>
        <v>-388.68</v>
      </c>
    </row>
    <row r="481" spans="1:3" x14ac:dyDescent="0.25">
      <c r="A481" s="9" t="s">
        <v>981</v>
      </c>
      <c r="B481" s="9" t="s">
        <v>982</v>
      </c>
      <c r="C481" s="16">
        <f>[1]!QAA_AGG("1,2,SS6,LA,F=KCA,K=DbC,F=A,K=/LA/Ldg,F=CVI000,T=CVI000,K=/LA/AccCde,F=001/2022,T=012/2022,K=/LA/Prd,F=P,T=PINV,K=/LA/JnlTyp,F=&lt;ALL&gt;,K=/LA/Alc,F=&lt;ALL&gt;,T=&lt;ALL&gt;,K=/LA/JnlSrc,F=VIKING DIRECT,T=VIKING DIRECT,K=/LA/CA/Nme,E=1,O=/LA/BseAmt,XLBVal:6=-387.350",)</f>
        <v>-387.35</v>
      </c>
    </row>
    <row r="482" spans="1:3" x14ac:dyDescent="0.25">
      <c r="A482" s="9" t="s">
        <v>115</v>
      </c>
      <c r="B482" s="9" t="s">
        <v>984</v>
      </c>
      <c r="C482" s="16">
        <f>[1]!QAA_AGG("1,2,SS6,LA,F=KCA,K=DbC,F=A,K=/LA/Ldg,F=CSW002,T=CSW002,K=/LA/AccCde,F=001/2022,T=012/2022,K=/LA/Prd,F=P,T=PINV,K=/LA/JnlTyp,F=&lt;ALL&gt;,K=/LA/Alc,F=&lt;ALL&gt;,T=&lt;ALL&gt;,K=/LA/JnlSrc,F=Swimworld,T=Swimworld,K=/LA/CA/Nme,E=1,O=/LA/BseAmt,XLBVal:6=-384.000",)</f>
        <v>-384</v>
      </c>
    </row>
    <row r="483" spans="1:3" x14ac:dyDescent="0.25">
      <c r="A483" s="9" t="s">
        <v>44</v>
      </c>
      <c r="B483" s="9" t="s">
        <v>985</v>
      </c>
      <c r="C483" s="16">
        <f>[1]!QAA_AGG("1,2,SS6,LA,F=KCA,K=DbC,F=A,K=/LA/Ldg,F=CDE006,T=CDE006,K=/LA/AccCde,F=001/2022,T=012/2022,K=/LA/Prd,F=P,T=PINV,K=/LA/JnlTyp,F=&lt;ALL&gt;,K=/LA/Alc,F=&lt;ALL&gt;,T=&lt;ALL&gt;,K=/LA/JnlSrc,F=DEMPSEY HARDWARE,T=DEMPSEY HARDWARE,K=/LA/CA/Nme,E=1,O=/LA/BseAmt,XLBVal:6=-382.11"&amp;"0",)</f>
        <v>-382.11</v>
      </c>
    </row>
    <row r="484" spans="1:3" x14ac:dyDescent="0.25">
      <c r="A484" s="9" t="s">
        <v>986</v>
      </c>
      <c r="B484" s="9" t="s">
        <v>987</v>
      </c>
      <c r="C484" s="16">
        <f>[1]!QAA_AGG("1,2,SS6,LA,F=KCA,K=DbC,F=A,K=/LA/Ldg,F=CAF001,T=CAF001,K=/LA/AccCde,F=001/2022,T=012/2022,K=/LA/Prd,F=P,T=PINV,K=/LA/JnlTyp,F=&lt;ALL&gt;,K=/LA/Alc,F=&lt;ALL&gt;,T=&lt;ALL&gt;,K=/LA/JnlSrc,F=Afro-Eire,T=Afro-Eire,K=/LA/CA/Nme,E=1,O=/LA/BseAmt,XLBVal:6=-380.000",)</f>
        <v>-380</v>
      </c>
    </row>
    <row r="485" spans="1:3" x14ac:dyDescent="0.25">
      <c r="A485" s="9" t="s">
        <v>988</v>
      </c>
      <c r="B485" s="9" t="s">
        <v>989</v>
      </c>
      <c r="C485" s="16">
        <f>[1]!QAA_AGG("1,2,SS6,LA,F=KCA,K=DbC,F=A,K=/LA/Ldg,F=CRA030,T=CRA030,K=/LA/AccCde,F=001/2022,T=012/2022,K=/LA/Prd,F=P,T=PINV,K=/LA/JnlTyp,F=&lt;ALL&gt;,K=/LA/Alc,F=&lt;ALL&gt;,T=&lt;ALL&gt;,K=/LA/JnlSrc,F=COMMUNITY RADIO KILKENNY CITY,T=COMMUNITY RADIO KILKENNY CITY,K=/LA/CA/Nme,E=1,O=/"&amp;"LA/BseAmt,XLBVal:6=-375.000",)</f>
        <v>-375</v>
      </c>
    </row>
    <row r="486" spans="1:3" x14ac:dyDescent="0.25">
      <c r="A486" s="9" t="s">
        <v>964</v>
      </c>
      <c r="B486" s="9" t="s">
        <v>965</v>
      </c>
      <c r="C486" s="16">
        <f>[1]!QAA_AGG("1,2,SS6,LA,F=KCA,K=DbC,F=A,K=/LA/Ldg,F=CTE042,T=CTE042,K=/LA/AccCde,F=001/2022,T=012/2022,K=/LA/Prd,F=P,T=PINV,K=/LA/JnlTyp,F=&lt;ALL&gt;,K=/LA/Alc,F=&lt;ALL&gt;,T=&lt;ALL&gt;,K=/LA/JnlSrc,F=TECHNOLOGY FIRST LTD T/A IT QUOTES,T=TECHNOLOGY FIRST LTD T/A IT QUOTES,K=/LA/CA/N"&amp;"me,E=1,O=/LA/BseAmt,XLBVal:6=-370.230",)</f>
        <v>-370.23</v>
      </c>
    </row>
    <row r="487" spans="1:3" x14ac:dyDescent="0.25">
      <c r="A487" s="9" t="s">
        <v>992</v>
      </c>
      <c r="B487" s="9" t="s">
        <v>993</v>
      </c>
      <c r="C487" s="16">
        <f>[1]!QAA_AGG("1,2,SS6,LA,F=KCA,K=DbC,F=A,K=/LA/Ldg,F=CCM001,T=CCM001,K=/LA/AccCde,F=001/2022,T=012/2022,K=/LA/Prd,F=P,T=PINV,K=/LA/JnlTyp,F=&lt;ALL&gt;,K=/LA/Alc,F=&lt;ALL&gt;,T=&lt;ALL&gt;,K=/LA/JnlSrc,F=CM SIGNS LTD,T=CM SIGNS LTD,K=/LA/CA/Nme,E=1,O=/LA/BseAmt,XLBVal:6=-364.080",)</f>
        <v>-364.08</v>
      </c>
    </row>
    <row r="488" spans="1:3" x14ac:dyDescent="0.25">
      <c r="A488" s="9" t="s">
        <v>125</v>
      </c>
      <c r="B488" s="9" t="s">
        <v>994</v>
      </c>
      <c r="C488" s="16">
        <f>[1]!QAA_AGG("1,2,SS6,LA,F=KCA,K=DbC,F=A,K=/LA/Ldg,F=CSA057,T=CSA057,K=/LA/AccCde,F=001/2022,T=012/2022,K=/LA/Prd,F=P,T=PINV,K=/LA/JnlTyp,F=&lt;ALL&gt;,K=/LA/Alc,F=&lt;ALL&gt;,T=&lt;ALL&gt;,K=/LA/JnlSrc,F=ELITE SAFETYTEC LTD,T=ELITE SAFETYTEC LTD,K=/LA/CA/Nme,E=1,O=/LA/BseAmt,XLBVal:6=-"&amp;"362.850",)</f>
        <v>-362.85</v>
      </c>
    </row>
    <row r="489" spans="1:3" x14ac:dyDescent="0.25">
      <c r="A489" s="9" t="s">
        <v>995</v>
      </c>
      <c r="B489" s="9" t="s">
        <v>996</v>
      </c>
      <c r="C489" s="16">
        <f>[1]!QAA_AGG("1,2,SS6,LA,F=KCA,K=DbC,F=A,K=/LA/Ldg,F=CTA004,T=CTA004,K=/LA/AccCde,F=001/2022,T=012/2022,K=/LA/Prd,F=P,T=PINV,K=/LA/JnlTyp,F=&lt;ALL&gt;,K=/LA/Alc,F=&lt;ALL&gt;,T=&lt;ALL&gt;,K=/LA/JnlSrc,F=TALBOT HOTEL,T=TALBOT HOTEL,K=/LA/CA/Nme,E=1,O=/LA/BseAmt,XLBVal:6=-360.000",)</f>
        <v>-360</v>
      </c>
    </row>
    <row r="490" spans="1:3" x14ac:dyDescent="0.25">
      <c r="A490" s="9" t="s">
        <v>998</v>
      </c>
      <c r="B490" s="9" t="s">
        <v>999</v>
      </c>
      <c r="C490" s="16">
        <f>[1]!QAA_AGG("1,2,SS6,LA,F=KCA,K=DbC,F=A,K=/LA/Ldg,F=CAN102,T=CAN102,K=/LA/AccCde,F=001/2022,T=012/2022,K=/LA/Prd,F=P,T=PINV,K=/LA/JnlTyp,F=&lt;ALL&gt;,K=/LA/Alc,F=&lt;ALL&gt;,T=&lt;ALL&gt;,K=/LA/JnlSrc,F=ANDY RAMSBOTTOM,T=ANDY RAMSBOTTOM,K=/LA/CA/Nme,E=1,O=/LA/BseAmt,XLBVal:6=-360.000",)</f>
        <v>-360</v>
      </c>
    </row>
    <row r="491" spans="1:3" x14ac:dyDescent="0.25">
      <c r="A491" s="9" t="s">
        <v>1000</v>
      </c>
      <c r="B491" s="9" t="s">
        <v>1001</v>
      </c>
      <c r="C491" s="16">
        <f>[1]!QAA_AGG("1,2,SS6,LA,F=KCA,K=DbC,F=A,K=/LA/Ldg,F=CDC005,T=CDC005,K=/LA/AccCde,F=001/2022,T=012/2022,K=/LA/Prd,F=P,T=PINV,K=/LA/JnlTyp,F=&lt;ALL&gt;,K=/LA/Alc,F=&lt;ALL&gt;,T=&lt;ALL&gt;,K=/LA/JnlSrc,F=DCG Solutionns Publishing Ltd,T=DCG Solutionns Publishing Ltd,K=/LA/CA/Nme,E=1,O=/"&amp;"LA/BseAmt,XLBVal:6=-360.000",)</f>
        <v>-360</v>
      </c>
    </row>
    <row r="492" spans="1:3" x14ac:dyDescent="0.25">
      <c r="A492" s="9" t="s">
        <v>1002</v>
      </c>
      <c r="B492" s="9" t="s">
        <v>1003</v>
      </c>
      <c r="C492" s="16">
        <f>[1]!QAA_AGG("1,2,SS6,LA,F=KCA,K=DbC,F=A,K=/LA/Ldg,F=CIL002,T=CIL002,K=/LA/AccCde,F=001/2022,T=012/2022,K=/LA/Prd,F=P,T=PINV,K=/LA/JnlTyp,F=&lt;ALL&gt;,K=/LA/Alc,F=&lt;ALL&gt;,T=&lt;ALL&gt;,K=/LA/JnlSrc,F=ILLE PAPER SERVICE (IRL) LTD,T=ILLE PAPER SERVICE (IRL) LTD,K=/LA/CA/Nme,E=1,O=/LA"&amp;"/BseAmt,XLBVal:6=-354.240",)</f>
        <v>-354.24</v>
      </c>
    </row>
    <row r="493" spans="1:3" x14ac:dyDescent="0.25">
      <c r="A493" s="9" t="s">
        <v>1004</v>
      </c>
      <c r="B493" s="9" t="s">
        <v>65</v>
      </c>
      <c r="C493" s="16">
        <f>[1]!QAA_AGG("1,2,SS6,LA,F=KCA,K=DbC,F=A,K=/LA/Ldg,F=CIR023,T=CIR023,K=/LA/AccCde,F=001/2022,T=012/2022,K=/LA/Prd,F=P,T=PINV,K=/LA/JnlTyp,F=&lt;ALL&gt;,K=/LA/Alc,F=&lt;ALL&gt;,T=&lt;ALL&gt;,K=/LA/JnlSrc,F=IRISH PAYROLL ASSOCIATION,T=IRISH PAYROLL ASSOCIATION,K=/LA/CA/Nme,E=1,O=/LA/BseAm"&amp;"t,XLBVal:6=-350.000",)</f>
        <v>-350</v>
      </c>
    </row>
    <row r="494" spans="1:3" x14ac:dyDescent="0.25">
      <c r="A494" s="9" t="s">
        <v>1005</v>
      </c>
      <c r="B494" s="9" t="s">
        <v>1006</v>
      </c>
      <c r="C494" s="16">
        <f>[1]!QAA_AGG("1,2,SS6,LA,F=KCA,K=DbC,F=A,K=/LA/Ldg,F=CBA049,T=CBA049,K=/LA/AccCde,F=001/2022,T=012/2022,K=/LA/Prd,F=P,T=PINV,K=/LA/JnlTyp,F=&lt;ALL&gt;,K=/LA/Alc,F=&lt;ALL&gt;,T=&lt;ALL&gt;,K=/LA/JnlSrc,F=BARRONS SPORTS,T=BARRONS SPORTS,K=/LA/CA/Nme,E=1,O=/LA/BseAmt,XLBVal:6=-350.000",)</f>
        <v>-350</v>
      </c>
    </row>
    <row r="495" spans="1:3" x14ac:dyDescent="0.25">
      <c r="A495" s="9" t="s">
        <v>1007</v>
      </c>
      <c r="B495" s="9" t="s">
        <v>1008</v>
      </c>
      <c r="C495" s="16">
        <f>[1]!QAA_AGG("1,2,SS6,LA,F=KCA,K=DbC,F=A,K=/LA/Ldg,F=CGA049,T=CGA049,K=/LA/AccCde,F=001/2022,T=012/2022,K=/LA/Prd,F=P,T=PINV,K=/LA/JnlTyp,F=&lt;ALL&gt;,K=/LA/Alc,F=&lt;ALL&gt;,T=&lt;ALL&gt;,K=/LA/JnlSrc,F=GAVIN BARR,T=GAVIN BARR,K=/LA/CA/Nme,E=1,O=/LA/BseAmt,XLBVal:6=-348.860",)</f>
        <v>-348.86</v>
      </c>
    </row>
    <row r="496" spans="1:3" x14ac:dyDescent="0.25">
      <c r="A496" s="9" t="s">
        <v>1009</v>
      </c>
      <c r="B496" s="9" t="s">
        <v>1010</v>
      </c>
      <c r="C496" s="16">
        <f>[1]!QAA_AGG("1,2,SS6,LA,F=KCA,K=DbC,F=A,K=/LA/Ldg,F=CJA006,T=CJA006,K=/LA/AccCde,F=001/2022,T=012/2022,K=/LA/Prd,F=P,T=PINV,K=/LA/JnlTyp,F=&lt;ALL&gt;,K=/LA/Alc,F=&lt;ALL&gt;,T=&lt;ALL&gt;,K=/LA/JnlSrc,F=James Healy (Brass Founders - Engineers) Ltd.{Cm},T=James Healy (Brass Founders - "&amp;"Engineers) Ltd.{Cm},K=/LA/CA/Nme,E=1,O=/LA/BseAmt,XLBVal:6=-348.090",)</f>
        <v>-348.09</v>
      </c>
    </row>
    <row r="497" spans="1:3" x14ac:dyDescent="0.25">
      <c r="A497" s="9" t="s">
        <v>24</v>
      </c>
      <c r="B497" s="9" t="s">
        <v>983</v>
      </c>
      <c r="C497" s="16">
        <f>[1]!QAA_AGG("1,2,SS6,LA,F=KCA,K=DbC,F=A,K=/LA/Ldg,F=CTO003,T=CTO003,K=/LA/AccCde,F=001/2022,T=012/2022,K=/LA/Prd,F=P,T=PINV,K=/LA/JnlTyp,F=&lt;ALL&gt;,K=/LA/Alc,F=&lt;ALL&gt;,T=&lt;ALL&gt;,K=/LA/JnlSrc,F=TOP SECURITY,T=TOP SECURITY,K=/LA/CA/Nme,E=1,O=/LA/BseAmt,XLBVal:6=-344.450",)</f>
        <v>-344.45</v>
      </c>
    </row>
    <row r="498" spans="1:3" x14ac:dyDescent="0.25">
      <c r="A498" s="9" t="s">
        <v>1011</v>
      </c>
      <c r="B498" s="9" t="s">
        <v>1012</v>
      </c>
      <c r="C498" s="16">
        <f>[1]!QAA_AGG("1,2,SS6,LA,F=KCA,K=DbC,F=A,K=/LA/Ldg,F=CFR048,T=CFR048,K=/LA/AccCde,F=001/2022,T=012/2022,K=/LA/Prd,F=P,T=PINV,K=/LA/JnlTyp,F=&lt;ALL&gt;,K=/LA/Alc,F=&lt;ALL&gt;,T=&lt;ALL&gt;,K=/LA/JnlSrc,F=FRESH'N UP 2468 LTD,T=FRESH'N UP 2468 LTD,K=/LA/CA/Nme,E=1,O=/LA/BseAmt,XLBVal:6=-"&amp;"344.400",)</f>
        <v>-344.4</v>
      </c>
    </row>
    <row r="499" spans="1:3" x14ac:dyDescent="0.25">
      <c r="A499" s="9" t="s">
        <v>1013</v>
      </c>
      <c r="B499" s="9" t="s">
        <v>1014</v>
      </c>
      <c r="C499" s="16">
        <f>[1]!QAA_AGG("1,2,SS6,LA,F=KCA,K=DbC,F=A,K=/LA/Ldg,F=CTH199,T=CTH199,K=/LA/AccCde,F=001/2022,T=012/2022,K=/LA/Prd,F=P,T=PINV,K=/LA/JnlTyp,F=&lt;ALL&gt;,K=/LA/Alc,F=&lt;ALL&gt;,T=&lt;ALL&gt;,K=/LA/JnlSrc,F=THE UPPING COMPANY,T=THE UPPING COMPANY,K=/LA/CA/Nme,E=1,O=/LA/BseAmt,XLBVal:6=-34"&amp;"1.940",)</f>
        <v>-341.94</v>
      </c>
    </row>
    <row r="500" spans="1:3" x14ac:dyDescent="0.25">
      <c r="A500" s="9" t="s">
        <v>1015</v>
      </c>
      <c r="B500" s="9" t="s">
        <v>1016</v>
      </c>
      <c r="C500" s="16">
        <f>[1]!QAA_AGG("1,2,SS6,LA,F=KCA,K=DbC,F=A,K=/LA/Ldg,F=CVI032,T=CVI032,K=/LA/AccCde,F=001/2022,T=012/2022,K=/LA/Prd,F=P,T=PINV,K=/LA/JnlTyp,F=&lt;ALL&gt;,K=/LA/Alc,F=&lt;ALL&gt;,T=&lt;ALL&gt;,K=/LA/JnlSrc,F=VIATEL IRELAND LTD,T=VIATEL IRELAND LTD,K=/LA/CA/Nme,E=1,O=/LA/BseAmt,XLBVal:6=-33"&amp;"9.480",)</f>
        <v>-339.48</v>
      </c>
    </row>
    <row r="501" spans="1:3" x14ac:dyDescent="0.25">
      <c r="A501" s="9" t="s">
        <v>1017</v>
      </c>
      <c r="B501" s="9" t="s">
        <v>1018</v>
      </c>
      <c r="C501" s="16">
        <f>[1]!QAA_AGG("1,2,SS6,LA,F=KCA,K=DbC,F=A,K=/LA/Ldg,F=CSH003,T=CSH003,K=/LA/AccCde,F=001/2022,T=012/2022,K=/LA/Prd,F=P,T=PINV,K=/LA/JnlTyp,F=&lt;ALL&gt;,K=/LA/Alc,F=&lt;ALL&gt;,T=&lt;ALL&gt;,K=/LA/JnlSrc,F=Shannon Heritage DAC,T=Shannon Heritage DAC,K=/LA/CA/Nme,E=1,O=/LA/BseAmt,XLBVal:6"&amp;"=-336.000",)</f>
        <v>-336</v>
      </c>
    </row>
    <row r="502" spans="1:3" x14ac:dyDescent="0.25">
      <c r="A502" s="9" t="s">
        <v>990</v>
      </c>
      <c r="B502" s="9" t="s">
        <v>991</v>
      </c>
      <c r="C502" s="16">
        <f>[1]!QAA_AGG("1,2,SS6,LA,F=KCA,K=DbC,F=A,K=/LA/Ldg,F=CWE013,T=CWE013,K=/LA/AccCde,F=001/2022,T=012/2022,K=/LA/Prd,F=P,T=PINV,K=/LA/JnlTyp,F=&lt;ALL&gt;,K=/LA/Alc,F=&lt;ALL&gt;,T=&lt;ALL&gt;,K=/LA/JnlSrc,F=WELLTEL IRELAND LTD,T=WELLTEL IRELAND LTD,K=/LA/CA/Nme,E=1,O=/LA/BseAmt,XLBVal:6=-"&amp;"332.100",)</f>
        <v>-332.1</v>
      </c>
    </row>
    <row r="503" spans="1:3" x14ac:dyDescent="0.25">
      <c r="A503" s="9" t="s">
        <v>1019</v>
      </c>
      <c r="B503" s="9" t="s">
        <v>1020</v>
      </c>
      <c r="C503" s="16">
        <f>[1]!QAA_AGG("1,2,SS6,LA,F=KCA,K=DbC,F=A,K=/LA/Ldg,F=CTH008,T=CTH008,K=/LA/AccCde,F=001/2022,T=012/2022,K=/LA/Prd,F=P,T=PINV,K=/LA/JnlTyp,F=&lt;ALL&gt;,K=/LA/Alc,F=&lt;ALL&gt;,T=&lt;ALL&gt;,K=/LA/JnlSrc,F=The Prime Agency,T=The Prime Agency,K=/LA/CA/Nme,E=1,O=/LA/BseAmt,XLBVal:6=-327.80"&amp;"0",)</f>
        <v>-327.8</v>
      </c>
    </row>
    <row r="504" spans="1:3" x14ac:dyDescent="0.25">
      <c r="A504" s="9" t="s">
        <v>1021</v>
      </c>
      <c r="B504" s="9" t="s">
        <v>1022</v>
      </c>
      <c r="C504" s="16">
        <f>[1]!QAA_AGG("1,2,SS6,LA,F=KCA,K=DbC,F=A,K=/LA/Ldg,F=CEC001,T=CEC001,K=/LA/AccCde,F=001/2022,T=012/2022,K=/LA/Prd,F=P,T=PINV,K=/LA/JnlTyp,F=&lt;ALL&gt;,K=/LA/Alc,F=&lt;ALL&gt;,T=&lt;ALL&gt;,K=/LA/JnlSrc,F=ECOLAB LTD (ROI),T=ECOLAB LTD (ROI),K=/LA/CA/Nme,E=1,O=/LA/BseAmt,XLBVal:6=-326.59"&amp;"0",)</f>
        <v>-326.58999999999997</v>
      </c>
    </row>
    <row r="505" spans="1:3" x14ac:dyDescent="0.25">
      <c r="A505" s="9" t="s">
        <v>1025</v>
      </c>
      <c r="B505" s="9" t="s">
        <v>1026</v>
      </c>
      <c r="C505" s="16">
        <f>[1]!QAA_AGG("1,2,SS6,LA,F=KCA,K=DbC,F=A,K=/LA/Ldg,F=CDA002,T=CDA002,K=/LA/AccCde,F=001/2022,T=012/2022,K=/LA/Prd,F=P,T=PINV,K=/LA/JnlTyp,F=&lt;ALL&gt;,K=/LA/Alc,F=&lt;ALL&gt;,T=&lt;ALL&gt;,K=/LA/JnlSrc,F=Darren Crowe,T=Darren Crowe,K=/LA/CA/Nme,E=1,O=/LA/BseAmt,XLBVal:6=-325.000",)</f>
        <v>-325</v>
      </c>
    </row>
    <row r="506" spans="1:3" x14ac:dyDescent="0.25">
      <c r="A506" s="9" t="s">
        <v>1023</v>
      </c>
      <c r="B506" s="9" t="s">
        <v>1024</v>
      </c>
      <c r="C506" s="16">
        <f>[1]!QAA_AGG("1,2,SS6,LA,F=KCA,K=DbC,F=A,K=/LA/Ldg,F=CFR005,T=CFR005,K=/LA/AccCde,F=001/2022,T=012/2022,K=/LA/Prd,F=P,T=PINV,K=/LA/JnlTyp,F=&lt;ALL&gt;,K=/LA/Alc,F=&lt;ALL&gt;,T=&lt;ALL&gt;,K=/LA/JnlSrc,F=Francis Kavanagh (Eilish Kavanagh Refund),T=Francis Kavanagh (Eilish Kavanagh Refu"&amp;"nd),K=/LA/CA/Nme,E=1,O=/LA/BseAmt,XLBVal:6=-325.000",)</f>
        <v>-325</v>
      </c>
    </row>
    <row r="507" spans="1:3" x14ac:dyDescent="0.25">
      <c r="A507" s="9" t="s">
        <v>1027</v>
      </c>
      <c r="B507" s="9" t="s">
        <v>1028</v>
      </c>
      <c r="C507" s="16">
        <f>[1]!QAA_AGG("1,2,SS6,LA,F=KCA,K=DbC,F=A,K=/LA/Ldg,F=CAS037,T=CAS037,K=/LA/AccCde,F=001/2022,T=012/2022,K=/LA/Prd,F=P,T=PINV,K=/LA/JnlTyp,F=&lt;ALL&gt;,K=/LA/Alc,F=&lt;ALL&gt;,T=&lt;ALL&gt;,K=/LA/JnlSrc,F=ASSOCIATION OF IRISH RIDING ESTABLISHMENTS (AIRE),T=ASSOCIATION OF IRISH RIDING ES"&amp;"TABLISHMENTS (AIRE),K=/LA/CA/Nme,E=1,O=/LA/BseAmt,XLBVal:6=-325.000",)</f>
        <v>-325</v>
      </c>
    </row>
    <row r="508" spans="1:3" x14ac:dyDescent="0.25">
      <c r="A508" s="9" t="s">
        <v>1029</v>
      </c>
      <c r="B508" s="9" t="s">
        <v>1030</v>
      </c>
      <c r="C508" s="16">
        <f>[1]!QAA_AGG("1,2,SS6,LA,F=KCA,K=DbC,F=A,K=/LA/Ldg,F=CCI005,T=CCI005,K=/LA/AccCde,F=001/2022,T=012/2022,K=/LA/Prd,F=P,T=PINV,K=/LA/JnlTyp,F=&lt;ALL&gt;,K=/LA/Alc,F=&lt;ALL&gt;,T=&lt;ALL&gt;,K=/LA/JnlSrc,F=Ciaran Curran (Refund),T=Ciaran Curran (Refund),K=/LA/CA/Nme,E=1,O=/LA/BseAmt,XLBV"&amp;"al:6=-325.000",)</f>
        <v>-325</v>
      </c>
    </row>
    <row r="509" spans="1:3" x14ac:dyDescent="0.25">
      <c r="A509" s="9" t="s">
        <v>73</v>
      </c>
      <c r="B509" s="9" t="s">
        <v>1031</v>
      </c>
      <c r="C509" s="16">
        <f>[1]!QAA_AGG("1,2,SS6,LA,F=KCA,K=DbC,F=A,K=/LA/Ldg,F=CLI000,T=CLI000,K=/LA/AccCde,F=001/2022,T=012/2022,K=/LA/Prd,F=P,T=PINV,K=/LA/JnlTyp,F=&lt;ALL&gt;,K=/LA/Alc,F=&lt;ALL&gt;,T=&lt;ALL&gt;,K=/LA/JnlSrc,F=Liam Butler,T=Liam Butler,K=/LA/CA/Nme,E=1,O=/LA/BseAmt,XLBVal:6=-325.000",)</f>
        <v>-325</v>
      </c>
    </row>
    <row r="510" spans="1:3" x14ac:dyDescent="0.25">
      <c r="A510" s="9" t="s">
        <v>1032</v>
      </c>
      <c r="B510" s="9" t="s">
        <v>1033</v>
      </c>
      <c r="C510" s="16">
        <f>[1]!QAA_AGG("1,2,SS6,LA,F=KCA,K=DbC,F=A,K=/LA/Ldg,F=CSH002,T=CSH002,K=/LA/AccCde,F=001/2022,T=012/2022,K=/LA/Prd,F=P,T=PINV,K=/LA/JnlTyp,F=&lt;ALL&gt;,K=/LA/Alc,F=&lt;ALL&gt;,T=&lt;ALL&gt;,K=/LA/JnlSrc,F=Shane Giltrap,T=Shane Giltrap,K=/LA/CA/Nme,E=1,O=/LA/BseAmt,XLBVal:6=-325.000",)</f>
        <v>-325</v>
      </c>
    </row>
    <row r="511" spans="1:3" x14ac:dyDescent="0.25">
      <c r="A511" s="9" t="s">
        <v>1034</v>
      </c>
      <c r="B511" s="9" t="s">
        <v>1035</v>
      </c>
      <c r="C511" s="16">
        <f>[1]!QAA_AGG("1,2,SS6,LA,F=KCA,K=DbC,F=A,K=/LA/Ldg,F=CSA009,T=CSA009,K=/LA/AccCde,F=001/2022,T=012/2022,K=/LA/Prd,F=P,T=PINV,K=/LA/JnlTyp,F=&lt;ALL&gt;,K=/LA/Alc,F=&lt;ALL&gt;,T=&lt;ALL&gt;,K=/LA/JnlSrc,F=Saoirse Karadag,T=Saoirse Karadag,K=/LA/CA/Nme,E=1,O=/LA/BseAmt,XLBVal:6=-325.000",)</f>
        <v>-325</v>
      </c>
    </row>
    <row r="512" spans="1:3" x14ac:dyDescent="0.25">
      <c r="A512" s="9" t="s">
        <v>1036</v>
      </c>
      <c r="B512" s="9" t="s">
        <v>1037</v>
      </c>
      <c r="C512" s="16">
        <f>[1]!QAA_AGG("1,2,SS6,LA,F=KCA,K=DbC,F=A,K=/LA/Ldg,F=CEA000,T=CEA000,K=/LA/AccCde,F=001/2022,T=012/2022,K=/LA/Prd,F=P,T=PINV,K=/LA/JnlTyp,F=&lt;ALL&gt;,K=/LA/Alc,F=&lt;ALL&gt;,T=&lt;ALL&gt;,K=/LA/JnlSrc,F=EAMONN NOLAN &amp; SONS,T=EAMONN NOLAN &amp; SONS,K=/LA/CA/Nme,E=1,O=/LA/BseAmt,XLBVal:6=-"&amp;"320.000",)</f>
        <v>-320</v>
      </c>
    </row>
    <row r="513" spans="1:3" x14ac:dyDescent="0.25">
      <c r="A513" s="9" t="s">
        <v>1038</v>
      </c>
      <c r="B513" s="9" t="s">
        <v>1039</v>
      </c>
      <c r="C513" s="16">
        <f>[1]!QAA_AGG("1,2,SS6,LA,F=KCA,K=DbC,F=A,K=/LA/Ldg,F=CEM025,T=CEM025,K=/LA/AccCde,F=001/2022,T=012/2022,K=/LA/Prd,F=P,T=PINV,K=/LA/JnlTyp,F=&lt;ALL&gt;,K=/LA/Alc,F=&lt;ALL&gt;,T=&lt;ALL&gt;,K=/LA/JnlSrc,F=EMERALD TILES LTD,T=EMERALD TILES LTD,K=/LA/CA/Nme,E=1,O=/LA/BseAmt,XLBVal:6=-318."&amp;"570",)</f>
        <v>-318.57</v>
      </c>
    </row>
    <row r="514" spans="1:3" x14ac:dyDescent="0.25">
      <c r="A514" s="9" t="s">
        <v>34</v>
      </c>
      <c r="B514" s="9" t="s">
        <v>79</v>
      </c>
      <c r="C514" s="16">
        <f>[1]!QAA_AGG("1,2,SS6,LA,F=KCA,K=DbC,F=A,K=/LA/Ldg,F=CEI004,T=CEI004,K=/LA/AccCde,F=001/2022,T=012/2022,K=/LA/Prd,F=P,T=PINV,K=/LA/JnlTyp,F=&lt;ALL&gt;,K=/LA/Alc,F=&lt;ALL&gt;,T=&lt;ALL&gt;,K=/LA/JnlSrc,F=EIR BUSINESS SYSTEMS,T=EIR BUSINESS SYSTEMS,K=/LA/CA/Nme,E=1,O=/LA/BseAmt,XLBVal:6"&amp;"=-316.110",)</f>
        <v>-316.11</v>
      </c>
    </row>
    <row r="515" spans="1:3" x14ac:dyDescent="0.25">
      <c r="A515" s="9" t="s">
        <v>1042</v>
      </c>
      <c r="B515" s="9" t="s">
        <v>1043</v>
      </c>
      <c r="C515" s="16">
        <f>[1]!QAA_AGG("1,2,SS6,LA,F=KCA,K=DbC,F=A,K=/LA/Ldg,F=CCR001,T=CCR001,K=/LA/AccCde,F=001/2022,T=012/2022,K=/LA/Prd,F=P,T=PINV,K=/LA/JnlTyp,F=&lt;ALL&gt;,K=/LA/Alc,F=&lt;ALL&gt;,T=&lt;ALL&gt;,K=/LA/JnlSrc,F=Craig Matthews t/a Valuecoms,T=Craig Matthews t/a Valuecoms,K=/LA/CA/Nme,E=1,O=/LA"&amp;"/BseAmt,XLBVal:6=-308.730",)</f>
        <v>-308.73</v>
      </c>
    </row>
    <row r="516" spans="1:3" x14ac:dyDescent="0.25">
      <c r="A516" s="9" t="s">
        <v>1044</v>
      </c>
      <c r="B516" s="9" t="s">
        <v>1045</v>
      </c>
      <c r="C516" s="16">
        <f>[1]!QAA_AGG("1,2,SS6,LA,F=KCA,K=DbC,F=A,K=/LA/Ldg,F=CAX001,T=CAX001,K=/LA/AccCde,F=001/2022,T=012/2022,K=/LA/Prd,F=P,T=PINV,K=/LA/JnlTyp,F=&lt;ALL&gt;,K=/LA/Alc,F=&lt;ALL&gt;,T=&lt;ALL&gt;,K=/LA/JnlSrc,F=Axe Junkies,T=Axe Junkies,K=/LA/CA/Nme,E=1,O=/LA/BseAmt,XLBVal:6=-308.000",)</f>
        <v>-308</v>
      </c>
    </row>
    <row r="517" spans="1:3" x14ac:dyDescent="0.25">
      <c r="A517" s="9" t="s">
        <v>1046</v>
      </c>
      <c r="B517" s="9" t="s">
        <v>1047</v>
      </c>
      <c r="C517" s="16">
        <f>[1]!QAA_AGG("1,2,SS6,LA,F=KCA,K=DbC,F=A,K=/LA/Ldg,F=CDO065,T=CDO065,K=/LA/AccCde,F=001/2022,T=012/2022,K=/LA/Prd,F=P,T=PINV,K=/LA/JnlTyp,F=&lt;ALL&gt;,K=/LA/Alc,F=&lt;ALL&gt;,T=&lt;ALL&gt;,K=/LA/JnlSrc,F=DOGS FIRST LTD,T=DOGS FIRST LTD,K=/LA/CA/Nme,E=1,O=/LA/BseAmt,XLBVal:6=-307.500",)</f>
        <v>-307.5</v>
      </c>
    </row>
    <row r="518" spans="1:3" x14ac:dyDescent="0.25">
      <c r="A518" s="9" t="s">
        <v>1050</v>
      </c>
      <c r="B518" s="9" t="s">
        <v>1051</v>
      </c>
      <c r="C518" s="16">
        <f>[1]!QAA_AGG("1,2,SS6,LA,F=KCA,K=DbC,F=A,K=/LA/Ldg,F=CSU041,T=CSU041,K=/LA/AccCde,F=001/2022,T=012/2022,K=/LA/Prd,F=P,T=PINV,K=/LA/JnlTyp,F=&lt;ALL&gt;,K=/LA/Alc,F=&lt;ALL&gt;,T=&lt;ALL&gt;,K=/LA/JnlSrc,F=SUPREME FITNESS,T=SUPREME FITNESS,K=/LA/CA/Nme,E=1,O=/LA/BseAmt,XLBVal:6=-305.200",)</f>
        <v>-305.2</v>
      </c>
    </row>
    <row r="519" spans="1:3" x14ac:dyDescent="0.25">
      <c r="A519" s="9" t="s">
        <v>28</v>
      </c>
      <c r="B519" s="9" t="s">
        <v>1052</v>
      </c>
      <c r="C519" s="16">
        <f>[1]!QAA_AGG("1,2,SS6,LA,F=KCA,K=DbC,F=A,K=/LA/Ldg,F=CBE000,T=CBE000,K=/LA/AccCde,F=001/2022,T=012/2022,K=/LA/Prd,F=P,T=PINV,K=/LA/JnlTyp,F=&lt;ALL&gt;,K=/LA/Alc,F=&lt;ALL&gt;,T=&lt;ALL&gt;,K=/LA/JnlSrc,F=G4S MONITORING (IRE) LIMITED,T=G4S MONITORING (IRE) LIMITED,K=/LA/CA/Nme,E=1,O=/LA"&amp;"/BseAmt,XLBVal:6=-301.350",)</f>
        <v>-301.35000000000002</v>
      </c>
    </row>
    <row r="520" spans="1:3" x14ac:dyDescent="0.25">
      <c r="A520" s="9" t="s">
        <v>1053</v>
      </c>
      <c r="B520" s="9" t="s">
        <v>1054</v>
      </c>
      <c r="C520" s="16">
        <f>[1]!QAA_AGG("1,2,SS6,LA,F=KCA,K=DbC,F=A,K=/LA/Ldg,F=CCL068,T=CCL068,K=/LA/AccCde,F=001/2022,T=012/2022,K=/LA/Prd,F=P,T=PINV,K=/LA/JnlTyp,F=&lt;ALL&gt;,K=/LA/Alc,F=&lt;ALL&gt;,T=&lt;ALL&gt;,K=/LA/JnlSrc,F=CLEMENT FITZPATRICK,T=CLEMENT FITZPATRICK,K=/LA/CA/Nme,E=1,O=/LA/BseAmt,XLBVal:6=-"&amp;"300.000",)</f>
        <v>-300</v>
      </c>
    </row>
    <row r="521" spans="1:3" x14ac:dyDescent="0.25">
      <c r="A521" s="9" t="s">
        <v>1055</v>
      </c>
      <c r="B521" s="9" t="s">
        <v>1056</v>
      </c>
      <c r="C521" s="16">
        <f>[1]!QAA_AGG("1,2,SS6,LA,F=KCA,K=DbC,F=A,K=/LA/Ldg,F=CCL095,T=CCL095,K=/LA/AccCde,F=001/2022,T=012/2022,K=/LA/Prd,F=P,T=PINV,K=/LA/JnlTyp,F=&lt;ALL&gt;,K=/LA/Alc,F=&lt;ALL&gt;,T=&lt;ALL&gt;,K=/LA/JnlSrc,F=CLEERE SPORTS,T=CLEERE SPORTS,K=/LA/CA/Nme,E=1,O=/LA/BseAmt,XLBVal:6=-300.000",)</f>
        <v>-300</v>
      </c>
    </row>
    <row r="522" spans="1:3" x14ac:dyDescent="0.25">
      <c r="A522" s="9" t="s">
        <v>1057</v>
      </c>
      <c r="B522" s="9" t="s">
        <v>1058</v>
      </c>
      <c r="C522" s="16">
        <f>[1]!QAA_AGG("1,2,SS6,LA,F=KCA,K=DbC,F=A,K=/LA/Ldg,F=CBR071,T=CBR071,K=/LA/AccCde,F=001/2022,T=012/2022,K=/LA/Prd,F=P,T=PINV,K=/LA/JnlTyp,F=&lt;ALL&gt;,K=/LA/Alc,F=&lt;ALL&gt;,T=&lt;ALL&gt;,K=/LA/JnlSrc,F=BRIAN EGAN,T=BRIAN EGAN,K=/LA/CA/Nme,E=1,O=/LA/BseAmt,XLBVal:6=-300.000",)</f>
        <v>-300</v>
      </c>
    </row>
    <row r="523" spans="1:3" x14ac:dyDescent="0.25">
      <c r="A523" s="9" t="s">
        <v>1059</v>
      </c>
      <c r="B523" s="9" t="s">
        <v>1060</v>
      </c>
      <c r="C523" s="16">
        <f>[1]!QAA_AGG("1,2,SS6,LA,F=KCA,K=DbC,F=A,K=/LA/Ldg,F=CDE126,T=CDE126,K=/LA/AccCde,F=001/2022,T=012/2022,K=/LA/Prd,F=P,T=PINV,K=/LA/JnlTyp,F=&lt;ALL&gt;,K=/LA/Alc,F=&lt;ALL&gt;,T=&lt;ALL&gt;,K=/LA/JnlSrc,F=DEREK FAGAN,T=DEREK FAGAN,K=/LA/CA/Nme,E=1,O=/LA/BseAmt,XLBVal:6=-300.000",)</f>
        <v>-300</v>
      </c>
    </row>
    <row r="524" spans="1:3" x14ac:dyDescent="0.25">
      <c r="A524" s="9" t="s">
        <v>1061</v>
      </c>
      <c r="B524" s="9" t="s">
        <v>1062</v>
      </c>
      <c r="C524" s="16">
        <f>[1]!QAA_AGG("1,2,SS6,LA,F=KCA,K=DbC,F=A,K=/LA/Ldg,F=CDE093,T=CDE093,K=/LA/AccCde,F=001/2022,T=012/2022,K=/LA/Prd,F=P,T=PINV,K=/LA/JnlTyp,F=&lt;ALL&gt;,K=/LA/Alc,F=&lt;ALL&gt;,T=&lt;ALL&gt;,K=/LA/JnlSrc,F=DECLAN FOLEY,T=DECLAN FOLEY,K=/LA/CA/Nme,E=1,O=/LA/BseAmt,XLBVal:6=-300.000",)</f>
        <v>-300</v>
      </c>
    </row>
    <row r="525" spans="1:3" x14ac:dyDescent="0.25">
      <c r="A525" s="9" t="s">
        <v>1063</v>
      </c>
      <c r="B525" s="9" t="s">
        <v>1064</v>
      </c>
      <c r="C525" s="16">
        <f>[1]!QAA_AGG("1,2,SS6,LA,F=KCA,K=DbC,F=A,K=/LA/Ldg,F=CEU017,T=CEU017,K=/LA/AccCde,F=001/2022,T=012/2022,K=/LA/Prd,F=P,T=PINV,K=/LA/JnlTyp,F=&lt;ALL&gt;,K=/LA/Alc,F=&lt;ALL&gt;,T=&lt;ALL&gt;,K=/LA/JnlSrc,F=EUGENE GRACE,T=EUGENE GRACE,K=/LA/CA/Nme,E=1,O=/LA/BseAmt,XLBVal:6=-300.000",)</f>
        <v>-300</v>
      </c>
    </row>
    <row r="526" spans="1:3" x14ac:dyDescent="0.25">
      <c r="A526" s="9" t="s">
        <v>1083</v>
      </c>
      <c r="B526" s="9" t="s">
        <v>1084</v>
      </c>
      <c r="C526" s="16">
        <f>[1]!QAA_AGG("1,2,SS6,LA,F=KCA,K=DbC,F=A,K=/LA/Ldg,F=CGE020,T=CGE020,K=/LA/AccCde,F=001/2022,T=012/2022,K=/LA/Prd,F=P,T=PINV,K=/LA/JnlTyp,F=&lt;ALL&gt;,K=/LA/Alc,F=&lt;ALL&gt;,T=&lt;ALL&gt;,K=/LA/JnlSrc,F=George McMahon,T=George McMahon,K=/LA/CA/Nme,E=1,O=/LA/BseAmt,XLBVal:6=-300.000",)</f>
        <v>-300</v>
      </c>
    </row>
    <row r="527" spans="1:3" x14ac:dyDescent="0.25">
      <c r="A527" s="9" t="s">
        <v>1077</v>
      </c>
      <c r="B527" s="9" t="s">
        <v>1078</v>
      </c>
      <c r="C527" s="16">
        <f>[1]!QAA_AGG("1,2,SS6,LA,F=KCA,K=DbC,F=A,K=/LA/Ldg,F=CJO133,T=CJO133,K=/LA/AccCde,F=001/2022,T=012/2022,K=/LA/Prd,F=P,T=PINV,K=/LA/JnlTyp,F=&lt;ALL&gt;,K=/LA/Alc,F=&lt;ALL&gt;,T=&lt;ALL&gt;,K=/LA/JnlSrc,F=JOHN FOLEY,T=JOHN FOLEY,K=/LA/CA/Nme,E=1,O=/LA/BseAmt,XLBVal:6=-300.000",)</f>
        <v>-300</v>
      </c>
    </row>
    <row r="528" spans="1:3" x14ac:dyDescent="0.25">
      <c r="A528" s="9" t="s">
        <v>1079</v>
      </c>
      <c r="B528" s="9" t="s">
        <v>1080</v>
      </c>
      <c r="C528" s="16">
        <f>[1]!QAA_AGG("1,2,SS6,LA,F=KCA,K=DbC,F=A,K=/LA/Ldg,F=CJA075,T=CJA075,K=/LA/AccCde,F=001/2022,T=012/2022,K=/LA/Prd,F=P,T=PINV,K=/LA/JnlTyp,F=&lt;ALL&gt;,K=/LA/Alc,F=&lt;ALL&gt;,T=&lt;ALL&gt;,K=/LA/JnlSrc,F=JAMES COLEMAN,T=JAMES COLEMAN,K=/LA/CA/Nme,E=1,O=/LA/BseAmt,XLBVal:6=-300.000",)</f>
        <v>-300</v>
      </c>
    </row>
    <row r="529" spans="1:3" x14ac:dyDescent="0.25">
      <c r="A529" s="9" t="s">
        <v>1081</v>
      </c>
      <c r="B529" s="9" t="s">
        <v>1082</v>
      </c>
      <c r="C529" s="16">
        <f>[1]!QAA_AGG("1,2,SS6,LA,F=KCA,K=DbC,F=A,K=/LA/Ldg,F=CJI015,T=CJI015,K=/LA/AccCde,F=001/2022,T=012/2022,K=/LA/Prd,F=P,T=PINV,K=/LA/JnlTyp,F=&lt;ALL&gt;,K=/LA/Alc,F=&lt;ALL&gt;,T=&lt;ALL&gt;,K=/LA/JnlSrc,F=JIM DELANEY,T=JIM DELANEY,K=/LA/CA/Nme,E=1,O=/LA/BseAmt,XLBVal:6=-300.000",)</f>
        <v>-300</v>
      </c>
    </row>
    <row r="530" spans="1:3" x14ac:dyDescent="0.25">
      <c r="A530" s="9" t="s">
        <v>1067</v>
      </c>
      <c r="B530" s="9" t="s">
        <v>1068</v>
      </c>
      <c r="C530" s="16">
        <f>[1]!QAA_AGG("1,2,SS6,LA,F=KCA,K=DbC,F=A,K=/LA/Ldg,F=CPH030,T=CPH030,K=/LA/AccCde,F=001/2022,T=012/2022,K=/LA/Prd,F=P,T=PINV,K=/LA/JnlTyp,F=&lt;ALL&gt;,K=/LA/Alc,F=&lt;ALL&gt;,T=&lt;ALL&gt;,K=/LA/JnlSrc,F=PHONELINK SECURITY,T=PHONELINK SECURITY,K=/LA/CA/Nme,E=1,O=/LA/BseAmt,XLBVal:6=-30"&amp;"0.000",)</f>
        <v>-300</v>
      </c>
    </row>
    <row r="531" spans="1:3" x14ac:dyDescent="0.25">
      <c r="A531" s="9" t="s">
        <v>1065</v>
      </c>
      <c r="B531" s="9" t="s">
        <v>1066</v>
      </c>
      <c r="C531" s="16">
        <f>[1]!QAA_AGG("1,2,SS6,LA,F=KCA,K=DbC,F=A,K=/LA/Ldg,F=CPA149,T=CPA149,K=/LA/AccCde,F=001/2022,T=012/2022,K=/LA/Prd,F=P,T=PINV,K=/LA/JnlTyp,F=&lt;ALL&gt;,K=/LA/Alc,F=&lt;ALL&gt;,T=&lt;ALL&gt;,K=/LA/JnlSrc,F=PAUL MCDONALD,T=PAUL MCDONALD,K=/LA/CA/Nme,E=1,O=/LA/BseAmt,XLBVal:6=-300.000",)</f>
        <v>-300</v>
      </c>
    </row>
    <row r="532" spans="1:3" x14ac:dyDescent="0.25">
      <c r="A532" s="9" t="s">
        <v>1069</v>
      </c>
      <c r="B532" s="9" t="s">
        <v>1070</v>
      </c>
      <c r="C532" s="16">
        <f>[1]!QAA_AGG("1,2,SS6,LA,F=KCA,K=DbC,F=A,K=/LA/Ldg,F=CPA259,T=CPA259,K=/LA/AccCde,F=001/2022,T=012/2022,K=/LA/Prd,F=P,T=PINV,K=/LA/JnlTyp,F=&lt;ALL&gt;,K=/LA/Alc,F=&lt;ALL&gt;,T=&lt;ALL&gt;,K=/LA/JnlSrc,F=PAUL GROGAN,T=PAUL GROGAN,K=/LA/CA/Nme,E=1,O=/LA/BseAmt,XLBVal:6=-300.000",)</f>
        <v>-300</v>
      </c>
    </row>
    <row r="533" spans="1:3" x14ac:dyDescent="0.25">
      <c r="A533" s="9" t="s">
        <v>1071</v>
      </c>
      <c r="B533" s="9" t="s">
        <v>1072</v>
      </c>
      <c r="C533" s="16">
        <f>[1]!QAA_AGG("1,2,SS6,LA,F=KCA,K=DbC,F=A,K=/LA/Ldg,F=COL021,T=COL021,K=/LA/AccCde,F=001/2022,T=012/2022,K=/LA/Prd,F=P,T=PINV,K=/LA/JnlTyp,F=&lt;ALL&gt;,K=/LA/Alc,F=&lt;ALL&gt;,T=&lt;ALL&gt;,K=/LA/JnlSrc,F=OLIVER DOLLARD,T=OLIVER DOLLARD,K=/LA/CA/Nme,E=1,O=/LA/BseAmt,XLBVal:6=-300.000",)</f>
        <v>-300</v>
      </c>
    </row>
    <row r="534" spans="1:3" x14ac:dyDescent="0.25">
      <c r="A534" s="9" t="s">
        <v>1075</v>
      </c>
      <c r="B534" s="9" t="s">
        <v>1076</v>
      </c>
      <c r="C534" s="16">
        <f>[1]!QAA_AGG("1,2,SS6,LA,F=KCA,K=DbC,F=A,K=/LA/Ldg,F=CMA261,T=CMA261,K=/LA/AccCde,F=001/2022,T=012/2022,K=/LA/Prd,F=P,T=PINV,K=/LA/JnlTyp,F=&lt;ALL&gt;,K=/LA/Alc,F=&lt;ALL&gt;,T=&lt;ALL&gt;,K=/LA/JnlSrc,F=MARY SHASBY,T=MARY SHASBY,K=/LA/CA/Nme,E=1,O=/LA/BseAmt,XLBVal:6=-300.000",)</f>
        <v>-300</v>
      </c>
    </row>
    <row r="535" spans="1:3" x14ac:dyDescent="0.25">
      <c r="A535" s="9" t="s">
        <v>1073</v>
      </c>
      <c r="B535" s="9" t="s">
        <v>1074</v>
      </c>
      <c r="C535" s="16">
        <f>[1]!QAA_AGG("1,2,SS6,LA,F=KCA,K=DbC,F=A,K=/LA/Ldg,F=CMI177,T=CMI177,K=/LA/AccCde,F=001/2022,T=012/2022,K=/LA/Prd,F=P,T=PINV,K=/LA/JnlTyp,F=&lt;ALL&gt;,K=/LA/Alc,F=&lt;ALL&gt;,T=&lt;ALL&gt;,K=/LA/JnlSrc,F=MICHAEL MORTON,T=MICHAEL MORTON,K=/LA/CA/Nme,E=1,O=/LA/BseAmt,XLBVal:6=-300.000",)</f>
        <v>-300</v>
      </c>
    </row>
    <row r="536" spans="1:3" x14ac:dyDescent="0.25">
      <c r="A536" s="9" t="s">
        <v>1085</v>
      </c>
      <c r="B536" s="9" t="s">
        <v>1086</v>
      </c>
      <c r="C536" s="16">
        <f>[1]!QAA_AGG("1,2,SS6,LA,F=KCA,K=DbC,F=A,K=/LA/Ldg,F=CTH006,T=CTH006,K=/LA/AccCde,F=001/2022,T=012/2022,K=/LA/Prd,F=P,T=PINV,K=/LA/JnlTyp,F=&lt;ALL&gt;,K=/LA/Alc,F=&lt;ALL&gt;,T=&lt;ALL&gt;,K=/LA/JnlSrc,F=The Fermentary,T=The Fermentary,K=/LA/CA/Nme,E=1,O=/LA/BseAmt,XLBVal:6=-300.000",)</f>
        <v>-300</v>
      </c>
    </row>
    <row r="537" spans="1:3" x14ac:dyDescent="0.25">
      <c r="A537" s="9" t="s">
        <v>1087</v>
      </c>
      <c r="B537" s="9" t="s">
        <v>1088</v>
      </c>
      <c r="C537" s="16">
        <f>[1]!QAA_AGG("1,2,SS6,LA,F=KCA,K=DbC,F=A,K=/LA/Ldg,F=CRO046,T=CRO046,K=/LA/AccCde,F=001/2022,T=012/2022,K=/LA/Prd,F=P,T=PINV,K=/LA/JnlTyp,F=&lt;ALL&gt;,K=/LA/Alc,F=&lt;ALL&gt;,T=&lt;ALL&gt;,K=/LA/JnlSrc,F=ROBERT HEARNE1,T=ROBERT HEARNE1,K=/LA/CA/Nme,E=1,O=/LA/BseAmt,XLBVal:6=-300.000",)</f>
        <v>-300</v>
      </c>
    </row>
    <row r="538" spans="1:3" x14ac:dyDescent="0.25">
      <c r="A538" s="9" t="s">
        <v>1092</v>
      </c>
      <c r="B538" s="9" t="s">
        <v>1093</v>
      </c>
      <c r="C538" s="16">
        <f>[1]!QAA_AGG("1,2,SS6,LA,F=KCA,K=DbC,F=A,K=/LA/Ldg,F=CWI047,T=CWI047,K=/LA/AccCde,F=001/2022,T=012/2022,K=/LA/Prd,F=P,T=PINV,K=/LA/JnlTyp,F=&lt;ALL&gt;,K=/LA/Alc,F=&lt;ALL&gt;,T=&lt;ALL&gt;,K=/LA/JnlSrc,F=WILLIAM O MARA,T=WILLIAM O MARA,K=/LA/CA/Nme,E=1,O=/LA/BseAmt,XLBVal:6=-300.000",)</f>
        <v>-300</v>
      </c>
    </row>
    <row r="539" spans="1:3" x14ac:dyDescent="0.25">
      <c r="A539" s="9" t="s">
        <v>1089</v>
      </c>
      <c r="B539" s="9" t="s">
        <v>1090</v>
      </c>
      <c r="C539" s="16">
        <f>[1]!QAA_AGG("1,2,SS6,LA,F=KCA,K=DbC,F=A,K=/LA/Ldg,F=CWA043,T=CWA043,K=/LA/AccCde,F=001/2022,T=012/2022,K=/LA/Prd,F=P,T=PINV,K=/LA/JnlTyp,F=&lt;ALL&gt;,K=/LA/Alc,F=&lt;ALL&gt;,T=&lt;ALL&gt;,K=/LA/JnlSrc,F=WATERFORD GREENWAY CYCLE TOURS,T=WATERFORD GREENWAY CYCLE TOURS,K=/LA/CA/Nme,E=1,O"&amp;"=/LA/BseAmt,XLBVal:6=-300.000",)</f>
        <v>-300</v>
      </c>
    </row>
    <row r="540" spans="1:3" x14ac:dyDescent="0.25">
      <c r="A540" s="9" t="s">
        <v>93</v>
      </c>
      <c r="B540" s="9" t="s">
        <v>1091</v>
      </c>
      <c r="C540" s="16">
        <f>[1]!QAA_AGG("1,2,SS6,LA,F=KCA,K=DbC,F=A,K=/LA/Ldg,F=CWA034,T=CWA034,K=/LA/AccCde,F=001/2022,T=012/2022,K=/LA/Prd,F=P,T=PINV,K=/LA/JnlTyp,F=&lt;ALL&gt;,K=/LA/Alc,F=&lt;ALL&gt;,T=&lt;ALL&gt;,K=/LA/JnlSrc,F=WALTER DOYLE,T=WALTER DOYLE,K=/LA/CA/Nme,E=1,O=/LA/BseAmt,XLBVal:6=-300.000",)</f>
        <v>-300</v>
      </c>
    </row>
    <row r="541" spans="1:3" x14ac:dyDescent="0.25">
      <c r="A541" s="9" t="s">
        <v>1094</v>
      </c>
      <c r="B541" s="9" t="s">
        <v>1095</v>
      </c>
      <c r="C541" s="16">
        <f>[1]!QAA_AGG("1,2,SS6,LA,F=KCA,K=DbC,F=A,K=/LA/Ldg,F=CWA005,T=CWA005,K=/LA/AccCde,F=001/2022,T=012/2022,K=/LA/Prd,F=P,T=PINV,K=/LA/JnlTyp,F=&lt;ALL&gt;,K=/LA/Alc,F=&lt;ALL&gt;,T=&lt;ALL&gt;,K=/LA/JnlSrc,F=The Watergate Theatre Co. Ltd,T=The Watergate Theatre Co. Ltd,K=/LA/CA/Nme,E=1,O=/"&amp;"LA/BseAmt,XLBVal:6=-295.000",)</f>
        <v>-295</v>
      </c>
    </row>
    <row r="542" spans="1:3" x14ac:dyDescent="0.25">
      <c r="A542" s="9" t="s">
        <v>1098</v>
      </c>
      <c r="B542" s="9" t="s">
        <v>1099</v>
      </c>
      <c r="C542" s="16">
        <f>[1]!QAA_AGG("1,2,SS6,LA,F=KCA,K=DbC,F=A,K=/LA/Ldg,F=CCH033,T=CCH033,K=/LA/AccCde,F=001/2022,T=012/2022,K=/LA/Prd,F=P,T=PINV,K=/LA/JnlTyp,F=&lt;ALL&gt;,K=/LA/Alc,F=&lt;ALL&gt;,T=&lt;ALL&gt;,K=/LA/JnlSrc,F=CHRISTINE MCGRATH,T=CHRISTINE MCGRATH,K=/LA/CA/Nme,E=1,O=/LA/BseAmt,XLBVal:6=-290."&amp;"890",)</f>
        <v>-290.89</v>
      </c>
    </row>
    <row r="543" spans="1:3" x14ac:dyDescent="0.25">
      <c r="A543" s="9" t="s">
        <v>1100</v>
      </c>
      <c r="B543" s="9" t="s">
        <v>1101</v>
      </c>
      <c r="C543" s="16">
        <f>[1]!QAA_AGG("1,2,SS6,LA,F=KCA,K=DbC,F=A,K=/LA/Ldg,F=CGA022,T=CGA022,K=/LA/AccCde,F=001/2022,T=012/2022,K=/LA/Prd,F=P,T=PINV,K=/LA/JnlTyp,F=&lt;ALL&gt;,K=/LA/Alc,F=&lt;ALL&gt;,T=&lt;ALL&gt;,K=/LA/JnlSrc,F=GAISCE THE PRESIDENTS AWARD,T=GAISCE THE PRESIDENTS AWARD,K=/LA/CA/Nme,E=1,O=/LA/B"&amp;"seAmt,XLBVal:6=-290.000",)</f>
        <v>-290</v>
      </c>
    </row>
    <row r="544" spans="1:3" x14ac:dyDescent="0.25">
      <c r="A544" s="9" t="s">
        <v>1102</v>
      </c>
      <c r="B544" s="9" t="s">
        <v>91</v>
      </c>
      <c r="C544" s="16">
        <f>[1]!QAA_AGG("1,2,SS6,LA,F=KCA,K=DbC,F=A,K=/LA/Ldg,F=CWO015,T=CWO015,K=/LA/AccCde,F=001/2022,T=012/2022,K=/LA/Prd,F=P,T=PINV,K=/LA/JnlTyp,F=&lt;ALL&gt;,K=/LA/Alc,F=&lt;ALL&gt;,T=&lt;ALL&gt;,K=/LA/JnlSrc,F=WOOD THEORY &amp; PRACTICE,T=WOOD THEORY &amp; PRACTICE,K=/LA/CA/Nme,E=1,O=/LA/BseAmt,XLBV"&amp;"al:6=-288.000",)</f>
        <v>-288</v>
      </c>
    </row>
    <row r="545" spans="1:3" x14ac:dyDescent="0.25">
      <c r="A545" s="9" t="s">
        <v>1103</v>
      </c>
      <c r="B545" s="9" t="s">
        <v>1104</v>
      </c>
      <c r="C545" s="16">
        <f>[1]!QAA_AGG("1,2,SS6,LA,F=KCA,K=DbC,F=A,K=/LA/Ldg,F=CSE004,T=CSE004,K=/LA/AccCde,F=001/2022,T=012/2022,K=/LA/Prd,F=P,T=PINV,K=/LA/JnlTyp,F=&lt;ALL&gt;,K=/LA/Alc,F=&lt;ALL&gt;,T=&lt;ALL&gt;,K=/LA/JnlSrc,F=Self Help Africa (Worldwise Global Schools),T=Self Help Africa (Worldwise Global S"&amp;"chools),K=/LA/CA/Nme,E=1,O=/LA/BseAmt,XLBVal:6=-280.000",)</f>
        <v>-280</v>
      </c>
    </row>
    <row r="546" spans="1:3" x14ac:dyDescent="0.25">
      <c r="A546" s="9" t="s">
        <v>1040</v>
      </c>
      <c r="B546" s="9" t="s">
        <v>1041</v>
      </c>
      <c r="C546" s="16">
        <f>[1]!QAA_AGG("1,2,SS6,LA,F=KCA,K=DbC,F=A,K=/LA/Ldg,F=CSE051,T=CSE051,K=/LA/AccCde,F=001/2022,T=012/2022,K=/LA/Prd,F=P,T=PINV,K=/LA/JnlTyp,F=&lt;ALL&gt;,K=/LA/Alc,F=&lt;ALL&gt;,T=&lt;ALL&gt;,K=/LA/JnlSrc,F=SEAMUS BARRY,T=SEAMUS BARRY,K=/LA/CA/Nme,E=1,O=/LA/BseAmt,XLBVal:6=-280.000",)</f>
        <v>-280</v>
      </c>
    </row>
    <row r="547" spans="1:3" x14ac:dyDescent="0.25">
      <c r="A547" s="9" t="s">
        <v>1109</v>
      </c>
      <c r="B547" s="9" t="s">
        <v>1110</v>
      </c>
      <c r="C547" s="16">
        <f>[1]!QAA_AGG("1,2,SS6,LA,F=KCA,K=DbC,F=A,K=/LA/Ldg,F=CTH210,T=CTH210,K=/LA/AccCde,F=001/2022,T=012/2022,K=/LA/Prd,F=P,T=PINV,K=/LA/JnlTyp,F=&lt;ALL&gt;,K=/LA/Alc,F=&lt;ALL&gt;,T=&lt;ALL&gt;,K=/LA/JnlSrc,F=THE GREENWAY MAN BIKE HIRE &amp; CYCLE TOURS,T=THE GREENWAY MAN BIKE HIRE &amp; CYCLE TOUR"&amp;"S,K=/LA/CA/Nme,E=1,O=/LA/BseAmt,XLBVal:6=-270.110",)</f>
        <v>-270.11</v>
      </c>
    </row>
    <row r="548" spans="1:3" x14ac:dyDescent="0.25">
      <c r="A548" s="9" t="s">
        <v>1111</v>
      </c>
      <c r="B548" s="9" t="s">
        <v>1112</v>
      </c>
      <c r="C548" s="16">
        <f>[1]!QAA_AGG("1,2,SS6,LA,F=KCA,K=DbC,F=A,K=/LA/Ldg,F=CMA444,T=CMA444,K=/LA/AccCde,F=001/2022,T=012/2022,K=/LA/Prd,F=P,T=PINV,K=/LA/JnlTyp,F=&lt;ALL&gt;,K=/LA/Alc,F=&lt;ALL&gt;,T=&lt;ALL&gt;,K=/LA/JnlSrc,F=MAHER QUARRIES LTD,T=MAHER QUARRIES LTD,K=/LA/CA/Nme,E=1,O=/LA/BseAmt,XLBVal:6=-26"&amp;"8.880",)</f>
        <v>-268.88</v>
      </c>
    </row>
    <row r="549" spans="1:3" x14ac:dyDescent="0.25">
      <c r="A549" s="9" t="s">
        <v>1113</v>
      </c>
      <c r="B549" s="9" t="s">
        <v>1114</v>
      </c>
      <c r="C549" s="16">
        <f>[1]!QAA_AGG("1,2,SS6,LA,F=KCA,K=DbC,F=A,K=/LA/Ldg,F=CCR041,T=CCR041,K=/LA/AccCde,F=001/2022,T=012/2022,K=/LA/Prd,F=P,T=PINV,K=/LA/JnlTyp,F=&lt;ALL&gt;,K=/LA/Alc,F=&lt;ALL&gt;,T=&lt;ALL&gt;,K=/LA/JnlSrc,F=CRITICAL HEALTHCARE LTD,T=CRITICAL HEALTHCARE LTD,K=/LA/CA/Nme,E=1,O=/LA/BseAmt,XL"&amp;"BVal:6=-263.710",)</f>
        <v>-263.70999999999998</v>
      </c>
    </row>
    <row r="550" spans="1:3" x14ac:dyDescent="0.25">
      <c r="A550" s="9" t="s">
        <v>1115</v>
      </c>
      <c r="B550" s="9" t="s">
        <v>1116</v>
      </c>
      <c r="C550" s="16">
        <f>[1]!QAA_AGG("1,2,SS6,LA,F=KCA,K=DbC,F=A,K=/LA/Ldg,F=CJJ003,T=CJJ003,K=/LA/AccCde,F=001/2022,T=012/2022,K=/LA/Prd,F=P,T=PINV,K=/LA/JnlTyp,F=&lt;ALL&gt;,K=/LA/Alc,F=&lt;ALL&gt;,T=&lt;ALL&gt;,K=/LA/JnlSrc,F=J&amp;J SERVICES LTD,T=J&amp;J SERVICES LTD,K=/LA/CA/Nme,E=1,O=/LA/BseAmt,XLBVal:6=-262.93"&amp;"0",)</f>
        <v>-262.93</v>
      </c>
    </row>
    <row r="551" spans="1:3" x14ac:dyDescent="0.25">
      <c r="A551" s="9" t="s">
        <v>1117</v>
      </c>
      <c r="B551" s="9" t="s">
        <v>1118</v>
      </c>
      <c r="C551" s="16">
        <f>[1]!QAA_AGG("1,2,SS6,LA,F=KCA,K=DbC,F=A,K=/LA/Ldg,F=CGE040,T=CGE040,K=/LA/AccCde,F=001/2022,T=012/2022,K=/LA/Prd,F=P,T=PINV,K=/LA/JnlTyp,F=&lt;ALL&gt;,K=/LA/Alc,F=&lt;ALL&gt;,T=&lt;ALL&gt;,K=/LA/JnlSrc,F=GERALDINE COOPER,T=GERALDINE COOPER,K=/LA/CA/Nme,E=1,O=/LA/BseAmt,XLBVal:6=-256.00"&amp;"0",)</f>
        <v>-256</v>
      </c>
    </row>
    <row r="552" spans="1:3" x14ac:dyDescent="0.25">
      <c r="A552" s="9" t="s">
        <v>1120</v>
      </c>
      <c r="B552" s="9" t="s">
        <v>1121</v>
      </c>
      <c r="C552" s="16">
        <f>[1]!QAA_AGG("1,2,SS6,LA,F=KCA,K=DbC,F=A,K=/LA/Ldg,F=CJE010,T=CJE010,K=/LA/AccCde,F=001/2022,T=012/2022,K=/LA/Prd,F=P,T=PINV,K=/LA/JnlTyp,F=&lt;ALL&gt;,K=/LA/Alc,F=&lt;ALL&gt;,T=&lt;ALL&gt;,K=/LA/JnlSrc,F=Jessica Darcy,T=Jessica Darcy,K=/LA/CA/Nme,E=1,O=/LA/BseAmt,XLBVal:6=-255.000",)</f>
        <v>-255</v>
      </c>
    </row>
    <row r="553" spans="1:3" x14ac:dyDescent="0.25">
      <c r="A553" s="9" t="s">
        <v>31</v>
      </c>
      <c r="B553" s="9" t="s">
        <v>1119</v>
      </c>
      <c r="C553" s="16">
        <f>[1]!QAA_AGG("1,2,SS6,LA,F=KCA,K=DbC,F=A,K=/LA/Ldg,F=CIN001,T=CIN001,K=/LA/AccCde,F=001/2022,T=012/2022,K=/LA/Prd,F=P,T=PINV,K=/LA/JnlTyp,F=&lt;ALL&gt;,K=/LA/Alc,F=&lt;ALL&gt;,T=&lt;ALL&gt;,K=/LA/JnlSrc,F=Inga Gece,T=Inga Gece,K=/LA/CA/Nme,E=1,O=/LA/BseAmt,XLBVal:6=-255.000",)</f>
        <v>-255</v>
      </c>
    </row>
    <row r="554" spans="1:3" x14ac:dyDescent="0.25">
      <c r="A554" s="9" t="s">
        <v>1122</v>
      </c>
      <c r="B554" s="9" t="s">
        <v>1123</v>
      </c>
      <c r="C554" s="16">
        <f>[1]!QAA_AGG("1,2,SS6,LA,F=KCA,K=DbC,F=A,K=/LA/Ldg,F=CRO010,T=CRO010,K=/LA/AccCde,F=001/2022,T=012/2022,K=/LA/Prd,F=P,T=PINV,K=/LA/JnlTyp,F=&lt;ALL&gt;,K=/LA/Alc,F=&lt;ALL&gt;,T=&lt;ALL&gt;,K=/LA/JnlSrc,F=Ross Meredith,T=Ross Meredith,K=/LA/CA/Nme,E=1,O=/LA/BseAmt,XLBVal:6=-255.000",)</f>
        <v>-255</v>
      </c>
    </row>
    <row r="555" spans="1:3" x14ac:dyDescent="0.25">
      <c r="A555" s="9" t="s">
        <v>1126</v>
      </c>
      <c r="B555" s="9" t="s">
        <v>1127</v>
      </c>
      <c r="C555" s="16">
        <f>[1]!QAA_AGG("1,2,SS6,LA,F=KCA,K=DbC,F=A,K=/LA/Ldg,F=CWH011,T=CWH011,K=/LA/AccCde,F=001/2022,T=012/2022,K=/LA/Prd,F=P,T=PINV,K=/LA/JnlTyp,F=&lt;ALL&gt;,K=/LA/Alc,F=&lt;ALL&gt;,T=&lt;ALL&gt;,K=/LA/JnlSrc,F=WHITE CASTLE STUDIO LTD T/A BCR IRELAND,T=WHITE CASTLE STUDIO LTD T/A BCR IRELAND,"&amp;"K=/LA/CA/Nme,E=1,O=/LA/BseAmt,XLBVal:6=-251.220",)</f>
        <v>-251.22</v>
      </c>
    </row>
    <row r="556" spans="1:3" x14ac:dyDescent="0.25">
      <c r="A556" s="9" t="s">
        <v>1096</v>
      </c>
      <c r="B556" s="9" t="s">
        <v>1097</v>
      </c>
      <c r="C556" s="16">
        <f>[1]!QAA_AGG("1,2,SS6,LA,F=KCA,K=DbC,F=A,K=/LA/Ldg,F=CJA134,T=CJA134,K=/LA/AccCde,F=001/2022,T=012/2022,K=/LA/Prd,F=P,T=PINV,K=/LA/JnlTyp,F=&lt;ALL&gt;,K=/LA/Alc,F=&lt;ALL&gt;,T=&lt;ALL&gt;,K=/LA/JnlSrc,F=JAMES CORCORAN,T=JAMES CORCORAN,K=/LA/CA/Nme,E=1,O=/LA/BseAmt,XLBVal:6=-250.000",)</f>
        <v>-250</v>
      </c>
    </row>
    <row r="557" spans="1:3" x14ac:dyDescent="0.25">
      <c r="A557" s="9" t="s">
        <v>1128</v>
      </c>
      <c r="B557" s="9" t="s">
        <v>1129</v>
      </c>
      <c r="C557" s="16">
        <f>[1]!QAA_AGG("1,2,SS6,LA,F=KCA,K=DbC,F=A,K=/LA/Ldg,F=CLU000,T=CLU000,K=/LA/AccCde,F=001/2022,T=012/2022,K=/LA/Prd,F=P,T=PINV,K=/LA/JnlTyp,F=&lt;ALL&gt;,K=/LA/Alc,F=&lt;ALL&gt;,T=&lt;ALL&gt;,K=/LA/JnlSrc,F=Luke Byrne,T=Luke Byrne,K=/LA/CA/Nme,E=1,O=/LA/BseAmt,XLBVal:6=-250.000",)</f>
        <v>-250</v>
      </c>
    </row>
    <row r="558" spans="1:3" x14ac:dyDescent="0.25">
      <c r="A558" s="9" t="s">
        <v>1130</v>
      </c>
      <c r="B558" s="9" t="s">
        <v>1131</v>
      </c>
      <c r="C558" s="16">
        <f>[1]!QAA_AGG("1,2,SS6,LA,F=KCA,K=DbC,F=A,K=/LA/Ldg,F=CNI006,T=CNI006,K=/LA/AccCde,F=001/2022,T=012/2022,K=/LA/Prd,F=P,T=PINV,K=/LA/JnlTyp,F=&lt;ALL&gt;,K=/LA/Alc,F=&lt;ALL&gt;,T=&lt;ALL&gt;,K=/LA/JnlSrc,F=Niamh Malone,T=Niamh Malone,K=/LA/CA/Nme,E=1,O=/LA/BseAmt,XLBVal:6=-250.000",)</f>
        <v>-250</v>
      </c>
    </row>
    <row r="559" spans="1:3" x14ac:dyDescent="0.25">
      <c r="A559" s="9" t="s">
        <v>1132</v>
      </c>
      <c r="B559" s="9" t="s">
        <v>1133</v>
      </c>
      <c r="C559" s="16">
        <f>[1]!QAA_AGG("1,2,SS6,LA,F=KCA,K=DbC,F=A,K=/LA/Ldg,F=CNE005,T=CNE005,K=/LA/AccCde,F=001/2022,T=012/2022,K=/LA/Prd,F=P,T=PINV,K=/LA/JnlTyp,F=&lt;ALL&gt;,K=/LA/Alc,F=&lt;ALL&gt;,T=&lt;ALL&gt;,K=/LA/JnlSrc,F=Nevora Ltd  (Four Star Pizza Kilkenny),T=Nevora Ltd  (Four Star Pizza Kilkenny),K="&amp;"/LA/CA/Nme,E=1,O=/LA/BseAmt,XLBVal:6=-250.000",)</f>
        <v>-250</v>
      </c>
    </row>
    <row r="560" spans="1:3" x14ac:dyDescent="0.25">
      <c r="A560" s="9" t="s">
        <v>1134</v>
      </c>
      <c r="B560" s="9" t="s">
        <v>1135</v>
      </c>
      <c r="C560" s="16">
        <f>[1]!QAA_AGG("1,2,SS6,LA,F=KCA,K=DbC,F=A,K=/LA/Ldg,F=CPA239,T=CPA239,K=/LA/AccCde,F=001/2022,T=012/2022,K=/LA/Prd,F=P,T=PINV,K=/LA/JnlTyp,F=&lt;ALL&gt;,K=/LA/Alc,F=&lt;ALL&gt;,T=&lt;ALL&gt;,K=/LA/JnlSrc,F=PADDY CALLAGHAN,T=PADDY CALLAGHAN,K=/LA/CA/Nme,E=1,O=/LA/BseAmt,XLBVal:6=-250.000",)</f>
        <v>-250</v>
      </c>
    </row>
    <row r="561" spans="1:3" x14ac:dyDescent="0.25">
      <c r="A561" s="9" t="s">
        <v>1136</v>
      </c>
      <c r="B561" s="9" t="s">
        <v>1137</v>
      </c>
      <c r="C561" s="16">
        <f>[1]!QAA_AGG("1,2,SS6,LA,F=KCA,K=DbC,F=A,K=/LA/Ldg,F=CCO003,T=CCO003,K=/LA/AccCde,F=001/2022,T=012/2022,K=/LA/Prd,F=P,T=PINV,K=/LA/JnlTyp,F=&lt;ALL&gt;,K=/LA/Alc,F=&lt;ALL&gt;,T=&lt;ALL&gt;,K=/LA/JnlSrc,F=Conor O'Neill,T=Conor O'Neill,K=/LA/CA/Nme,E=1,O=/LA/BseAmt,XLBVal:6=-250.000",)</f>
        <v>-250</v>
      </c>
    </row>
    <row r="562" spans="1:3" x14ac:dyDescent="0.25">
      <c r="A562" s="9" t="s">
        <v>1140</v>
      </c>
      <c r="B562" s="9" t="s">
        <v>1141</v>
      </c>
      <c r="C562" s="16">
        <f>[1]!QAA_AGG("1,2,SS6,LA,F=KCA,K=DbC,F=A,K=/LA/Ldg,F=CSS000,T=CSS000,K=/LA/AccCde,F=001/2022,T=012/2022,K=/LA/Prd,F=P,T=PINV,K=/LA/JnlTyp,F=&lt;ALL&gt;,K=/LA/Alc,F=&lt;ALL&gt;,T=&lt;ALL&gt;,K=/LA/JnlSrc,F=S-SECURITY GROUP LTD.,T=S-SECURITY GROUP LTD.,K=/LA/CA/Nme,E=1,O=/LA/BseAmt,XLBVal"&amp;":6=-246.000",)</f>
        <v>-246</v>
      </c>
    </row>
    <row r="563" spans="1:3" x14ac:dyDescent="0.25">
      <c r="A563" s="9" t="s">
        <v>1138</v>
      </c>
      <c r="B563" s="9" t="s">
        <v>1139</v>
      </c>
      <c r="C563" s="16">
        <f>[1]!QAA_AGG("1,2,SS6,LA,F=KCA,K=DbC,F=A,K=/LA/Ldg,F=CVI022,T=CVI022,K=/LA/AccCde,F=001/2022,T=012/2022,K=/LA/Prd,F=P,T=PINV,K=/LA/JnlTyp,F=&lt;ALL&gt;,K=/LA/Alc,F=&lt;ALL&gt;,T=&lt;ALL&gt;,K=/LA/JnlSrc,F=VITAL IT LTD,T=VITAL IT LTD,K=/LA/CA/Nme,E=1,O=/LA/BseAmt,XLBVal:6=-246.000",)</f>
        <v>-246</v>
      </c>
    </row>
    <row r="564" spans="1:3" x14ac:dyDescent="0.25">
      <c r="A564" s="9" t="s">
        <v>1142</v>
      </c>
      <c r="B564" s="9" t="s">
        <v>1143</v>
      </c>
      <c r="C564" s="16">
        <f>[1]!QAA_AGG("1,2,SS6,LA,F=KCA,K=DbC,F=A,K=/LA/Ldg,F=CBO017,T=CBO017,K=/LA/AccCde,F=001/2022,T=012/2022,K=/LA/Prd,F=P,T=PINV,K=/LA/JnlTyp,F=&lt;ALL&gt;,K=/LA/Alc,F=&lt;ALL&gt;,T=&lt;ALL&gt;,K=/LA/JnlSrc,F=BORD GAIS,T=BORD GAIS,K=/LA/CA/Nme,E=1,O=/LA/BseAmt,XLBVal:6=-245.000",)</f>
        <v>-245</v>
      </c>
    </row>
    <row r="565" spans="1:3" x14ac:dyDescent="0.25">
      <c r="A565" s="9" t="s">
        <v>1144</v>
      </c>
      <c r="B565" s="9" t="s">
        <v>1145</v>
      </c>
      <c r="C565" s="16">
        <f>[1]!QAA_AGG("1,2,SS6,LA,F=KCA,K=DbC,F=A,K=/LA/Ldg,F=CFI031,T=CFI031,K=/LA/AccCde,F=001/2022,T=012/2022,K=/LA/Prd,F=P,T=PINV,K=/LA/JnlTyp,F=&lt;ALL&gt;,K=/LA/Alc,F=&lt;ALL&gt;,T=&lt;ALL&gt;,K=/LA/JnlSrc,F=FINE FRAMERS,T=FINE FRAMERS,K=/LA/CA/Nme,E=1,O=/LA/BseAmt,XLBVal:6=-244.000",)</f>
        <v>-244</v>
      </c>
    </row>
    <row r="566" spans="1:3" x14ac:dyDescent="0.25">
      <c r="A566" s="9" t="s">
        <v>1146</v>
      </c>
      <c r="B566" s="9" t="s">
        <v>1147</v>
      </c>
      <c r="C566" s="16">
        <f>[1]!QAA_AGG("1,2,SS6,LA,F=KCA,K=DbC,F=A,K=/LA/Ldg,F=CBA042,T=CBA042,K=/LA/AccCde,F=001/2022,T=012/2022,K=/LA/Prd,F=P,T=PINV,K=/LA/JnlTyp,F=&lt;ALL&gt;,K=/LA/Alc,F=&lt;ALL&gt;,T=&lt;ALL&gt;,K=/LA/JnlSrc,F=BARKER PHOTOGRAPHIC LTD,T=BARKER PHOTOGRAPHIC LTD,K=/LA/CA/Nme,E=1,O=/LA/BseAmt,XL"&amp;"BVal:6=-239.790",)</f>
        <v>-239.79</v>
      </c>
    </row>
    <row r="567" spans="1:3" x14ac:dyDescent="0.25">
      <c r="A567" s="9" t="s">
        <v>1105</v>
      </c>
      <c r="B567" s="9" t="s">
        <v>1106</v>
      </c>
      <c r="C567" s="16">
        <f>[1]!QAA_AGG("1,2,SS6,LA,F=KCA,K=DbC,F=A,K=/LA/Ldg,F=CJO160,T=CJO160,K=/LA/AccCde,F=001/2022,T=012/2022,K=/LA/Prd,F=P,T=PINV,K=/LA/JnlTyp,F=&lt;ALL&gt;,K=/LA/Alc,F=&lt;ALL&gt;,T=&lt;ALL&gt;,K=/LA/JnlSrc,F=JOHN NOLAN,T=JOHN NOLAN,K=/LA/CA/Nme,E=1,O=/LA/BseAmt,XLBVal:6=-236.250",)</f>
        <v>-236.25</v>
      </c>
    </row>
    <row r="568" spans="1:3" x14ac:dyDescent="0.25">
      <c r="A568" s="9" t="s">
        <v>1107</v>
      </c>
      <c r="B568" s="9" t="s">
        <v>1108</v>
      </c>
      <c r="C568" s="16">
        <f>[1]!QAA_AGG("1,2,SS6,LA,F=KCA,K=DbC,F=A,K=/LA/Ldg,F=CHO016,T=CHO016,K=/LA/AccCde,F=001/2022,T=012/2022,K=/LA/Prd,F=P,T=PINV,K=/LA/JnlTyp,F=&lt;ALL&gt;,K=/LA/Alc,F=&lt;ALL&gt;,T=&lt;ALL&gt;,K=/LA/JnlSrc,F=HOTEL KILKENNY,T=HOTEL KILKENNY,K=/LA/CA/Nme,E=1,O=/LA/BseAmt,XLBVal:6=-234.000",)</f>
        <v>-234</v>
      </c>
    </row>
    <row r="569" spans="1:3" x14ac:dyDescent="0.25">
      <c r="A569" s="9" t="s">
        <v>1148</v>
      </c>
      <c r="B569" s="9" t="s">
        <v>1149</v>
      </c>
      <c r="C569" s="16">
        <f>[1]!QAA_AGG("1,2,SS6,LA,F=KCA,K=DbC,F=A,K=/LA/Ldg,F=CDH000,T=CDH000,K=/LA/AccCde,F=001/2022,T=012/2022,K=/LA/Prd,F=P,T=PINV,K=/LA/JnlTyp,F=&lt;ALL&gt;,K=/LA/Alc,F=&lt;ALL&gt;,T=&lt;ALL&gt;,K=/LA/JnlSrc,F=DH MILK SUPPLIES,T=DH MILK SUPPLIES,K=/LA/CA/Nme,E=1,O=/LA/BseAmt,XLBVal:6=-232.20"&amp;"0",)</f>
        <v>-232.2</v>
      </c>
    </row>
    <row r="570" spans="1:3" x14ac:dyDescent="0.25">
      <c r="A570" s="9" t="s">
        <v>1150</v>
      </c>
      <c r="B570" s="9" t="s">
        <v>1151</v>
      </c>
      <c r="C570" s="16">
        <f>[1]!QAA_AGG("1,2,SS6,LA,F=KCA,K=DbC,F=A,K=/LA/Ldg,F=CLA091,T=CLA091,K=/LA/AccCde,F=001/2022,T=012/2022,K=/LA/Prd,F=P,T=PINV,K=/LA/JnlTyp,F=&lt;ALL&gt;,K=/LA/Alc,F=&lt;ALL&gt;,T=&lt;ALL&gt;,K=/LA/JnlSrc,F=LAWNMOWER SERVICE AND REPAIRS,T=LAWNMOWER SERVICE AND REPAIRS,K=/LA/CA/Nme,E=1,O=/"&amp;"LA/BseAmt,XLBVal:6=-230.000",)</f>
        <v>-230</v>
      </c>
    </row>
    <row r="571" spans="1:3" x14ac:dyDescent="0.25">
      <c r="A571" s="9" t="s">
        <v>1152</v>
      </c>
      <c r="B571" s="9" t="s">
        <v>1153</v>
      </c>
      <c r="C571" s="16">
        <f>[1]!QAA_AGG("1,2,SS6,LA,F=KCA,K=DbC,F=A,K=/LA/Ldg,F=CMO022,T=CMO022,K=/LA/AccCde,F=001/2022,T=012/2022,K=/LA/Prd,F=P,T=PINV,K=/LA/JnlTyp,F=&lt;ALL&gt;,K=/LA/Alc,F=&lt;ALL&gt;,T=&lt;ALL&gt;,K=/LA/JnlSrc,F=IAN MORRISSEY (SHOP),T=IAN MORRISSEY (SHOP),K=/LA/CA/Nme,E=1,O=/LA/BseAmt,XLBVal:6"&amp;"=-229.520",)</f>
        <v>-229.52</v>
      </c>
    </row>
    <row r="572" spans="1:3" x14ac:dyDescent="0.25">
      <c r="A572" s="9" t="s">
        <v>1154</v>
      </c>
      <c r="B572" s="9" t="s">
        <v>1155</v>
      </c>
      <c r="C572" s="16">
        <f>[1]!QAA_AGG("1,2,SS6,LA,F=KCA,K=DbC,F=A,K=/LA/Ldg,F=CTE015,T=CTE015,K=/LA/AccCde,F=001/2022,T=012/2022,K=/LA/Prd,F=P,T=PINV,K=/LA/JnlTyp,F=&lt;ALL&gt;,K=/LA/Alc,F=&lt;ALL&gt;,T=&lt;ALL&gt;,K=/LA/JnlSrc,F=TEACH BHRIDE,T=TEACH BHRIDE,K=/LA/CA/Nme,E=1,O=/LA/BseAmt,XLBVal:6=-228.000",)</f>
        <v>-228</v>
      </c>
    </row>
    <row r="573" spans="1:3" x14ac:dyDescent="0.25">
      <c r="A573" s="9" t="s">
        <v>1156</v>
      </c>
      <c r="B573" s="9" t="s">
        <v>1157</v>
      </c>
      <c r="C573" s="16">
        <f>[1]!QAA_AGG("1,2,SS6,LA,F=KCA,K=DbC,F=A,K=/LA/Ldg,F=CRE060,T=CRE060,K=/LA/AccCde,F=001/2022,T=012/2022,K=/LA/Prd,F=P,T=PINV,K=/LA/JnlTyp,F=&lt;ALL&gt;,K=/LA/Alc,F=&lt;ALL&gt;,T=&lt;ALL&gt;,K=/LA/JnlSrc,F=RECHARGE KILKENNY,T=RECHARGE KILKENNY,K=/LA/CA/Nme,E=1,O=/LA/BseAmt,XLBVal:6=-228."&amp;"000",)</f>
        <v>-228</v>
      </c>
    </row>
    <row r="574" spans="1:3" x14ac:dyDescent="0.25">
      <c r="A574" s="9" t="s">
        <v>1158</v>
      </c>
      <c r="B574" s="9" t="s">
        <v>1159</v>
      </c>
      <c r="C574" s="16">
        <f>[1]!QAA_AGG("1,2,SS6,LA,F=KCA,K=DbC,F=A,K=/LA/Ldg,F=CYO002,T=CYO002,K=/LA/AccCde,F=001/2022,T=012/2022,K=/LA/Prd,F=P,T=PINV,K=/LA/JnlTyp,F=&lt;ALL&gt;,K=/LA/Alc,F=&lt;ALL&gt;,T=&lt;ALL&gt;,K=/LA/JnlSrc,F=YOUNG SOCIAL INNOVATORS,T=YOUNG SOCIAL INNOVATORS,K=/LA/CA/Nme,E=1,O=/LA/BseAmt,XL"&amp;"BVal:6=-225.000",)</f>
        <v>-225</v>
      </c>
    </row>
    <row r="575" spans="1:3" x14ac:dyDescent="0.25">
      <c r="A575" s="9" t="s">
        <v>1160</v>
      </c>
      <c r="B575" s="9" t="s">
        <v>1161</v>
      </c>
      <c r="C575" s="16">
        <f>[1]!QAA_AGG("1,2,SS6,LA,F=KCA,K=DbC,F=A,K=/LA/Ldg,F=CMA002,T=CMA002,K=/LA/AccCde,F=001/2022,T=012/2022,K=/LA/Prd,F=P,T=PINV,K=/LA/JnlTyp,F=&lt;ALL&gt;,K=/LA/Alc,F=&lt;ALL&gt;,T=&lt;ALL&gt;,K=/LA/JnlSrc,F=Margareta Pionk,T=Margareta Pionk,K=/LA/CA/Nme,E=1,O=/LA/BseAmt,XLBVal:6=-225.000",)</f>
        <v>-225</v>
      </c>
    </row>
    <row r="576" spans="1:3" x14ac:dyDescent="0.25">
      <c r="A576" s="9" t="s">
        <v>1164</v>
      </c>
      <c r="B576" s="9" t="s">
        <v>1165</v>
      </c>
      <c r="C576" s="16">
        <f>[1]!QAA_AGG("1,2,SS6,LA,F=KCA,K=DbC,F=A,K=/LA/Ldg,F=CJO003,T=CJO003,K=/LA/AccCde,F=001/2022,T=012/2022,K=/LA/Prd,F=P,T=PINV,K=/LA/JnlTyp,F=&lt;ALL&gt;,K=/LA/Alc,F=&lt;ALL&gt;,T=&lt;ALL&gt;,K=/LA/JnlSrc,F=John James Travers,T=John James Travers,K=/LA/CA/Nme,E=1,O=/LA/BseAmt,XLBVal:6=-22"&amp;"5.000",)</f>
        <v>-225</v>
      </c>
    </row>
    <row r="577" spans="1:3" x14ac:dyDescent="0.25">
      <c r="A577" s="9" t="s">
        <v>1162</v>
      </c>
      <c r="B577" s="9" t="s">
        <v>1163</v>
      </c>
      <c r="C577" s="16">
        <f>[1]!QAA_AGG("1,2,SS6,LA,F=KCA,K=DbC,F=A,K=/LA/Ldg,F=CKA009,T=CKA009,K=/LA/AccCde,F=001/2022,T=012/2022,K=/LA/Prd,F=P,T=PINV,K=/LA/JnlTyp,F=&lt;ALL&gt;,K=/LA/Alc,F=&lt;ALL&gt;,T=&lt;ALL&gt;,K=/LA/JnlSrc,F=Kayla Whelan O'Regan,T=Kayla Whelan O'Regan,K=/LA/CA/Nme,E=1,O=/LA/BseAmt,XLBVal:6"&amp;"=-225.000",)</f>
        <v>-225</v>
      </c>
    </row>
    <row r="578" spans="1:3" x14ac:dyDescent="0.25">
      <c r="A578" s="9" t="s">
        <v>1166</v>
      </c>
      <c r="B578" s="9" t="s">
        <v>1167</v>
      </c>
      <c r="C578" s="16">
        <f>[1]!QAA_AGG("1,2,SS6,LA,F=KCA,K=DbC,F=A,K=/LA/Ldg,F=CCI001,T=CCI001,K=/LA/AccCde,F=001/2022,T=012/2022,K=/LA/Prd,F=P,T=PINV,K=/LA/JnlTyp,F=&lt;ALL&gt;,K=/LA/Alc,F=&lt;ALL&gt;,T=&lt;ALL&gt;,K=/LA/JnlSrc,F=Cian Brennan,T=Cian Brennan,K=/LA/CA/Nme,E=1,O=/LA/BseAmt,XLBVal:6=-225.000",)</f>
        <v>-225</v>
      </c>
    </row>
    <row r="579" spans="1:3" x14ac:dyDescent="0.25">
      <c r="A579" s="9" t="s">
        <v>1169</v>
      </c>
      <c r="B579" s="9" t="s">
        <v>1170</v>
      </c>
      <c r="C579" s="16">
        <f>[1]!QAA_AGG("1,2,SS6,LA,F=KCA,K=DbC,F=A,K=/LA/Ldg,F=CCR015,T=CCR015,K=/LA/AccCde,F=001/2022,T=012/2022,K=/LA/Prd,F=P,T=PINV,K=/LA/JnlTyp,F=&lt;ALL&gt;,K=/LA/Alc,F=&lt;ALL&gt;,T=&lt;ALL&gt;,K=/LA/JnlSrc,F=CRIMEWATCH MONITORING SERVICES,T=CRIMEWATCH MONITORING SERVICES,K=/LA/CA/Nme,E=1,O"&amp;"=/LA/BseAmt,XLBVal:6=-222.570",)</f>
        <v>-222.57</v>
      </c>
    </row>
    <row r="580" spans="1:3" x14ac:dyDescent="0.25">
      <c r="A580" s="9" t="s">
        <v>1171</v>
      </c>
      <c r="B580" s="9" t="s">
        <v>1172</v>
      </c>
      <c r="C580" s="16">
        <f>[1]!QAA_AGG("1,2,SS6,LA,F=KCA,K=DbC,F=A,K=/LA/Ldg,F=CCY001,T=CCY001,K=/LA/AccCde,F=001/2022,T=012/2022,K=/LA/Prd,F=P,T=PINV,K=/LA/JnlTyp,F=&lt;ALL&gt;,K=/LA/Alc,F=&lt;ALL&gt;,T=&lt;ALL&gt;,K=/LA/JnlSrc,F=Cyber Safe Ireland CLG,T=Cyber Safe Ireland CLG,K=/LA/CA/Nme,E=1,O=/LA/BseAmt,XLBV"&amp;"al:6=-220.000",)</f>
        <v>-220</v>
      </c>
    </row>
    <row r="581" spans="1:3" x14ac:dyDescent="0.25">
      <c r="A581" s="9" t="s">
        <v>1175</v>
      </c>
      <c r="B581" s="9" t="s">
        <v>1176</v>
      </c>
      <c r="C581" s="16">
        <f>[1]!QAA_AGG("1,2,SS6,LA,F=KCA,K=DbC,F=A,K=/LA/Ldg,F=CFL019,T=CFL019,K=/LA/AccCde,F=001/2022,T=012/2022,K=/LA/Prd,F=P,T=PINV,K=/LA/JnlTyp,F=&lt;ALL&gt;,K=/LA/Alc,F=&lt;ALL&gt;,T=&lt;ALL&gt;,K=/LA/JnlSrc,F=FLEXTIME LIMITED,T=FLEXTIME LIMITED,K=/LA/CA/Nme,E=1,O=/LA/BseAmt,XLBVal:6=-215.25"&amp;"0",)</f>
        <v>-215.25</v>
      </c>
    </row>
    <row r="582" spans="1:3" x14ac:dyDescent="0.25">
      <c r="A582" s="9" t="s">
        <v>1236</v>
      </c>
      <c r="B582" s="9" t="s">
        <v>1237</v>
      </c>
      <c r="C582" s="16">
        <f>[1]!QAA_AGG("1,2,SS6,LA,F=KCA,K=DbC,F=A,K=/LA/Ldg,F=CFR023,T=CFR023,K=/LA/AccCde,F=001/2022,T=012/2022,K=/LA/Prd,F=P,T=PINV,K=/LA/JnlTyp,F=&lt;ALL&gt;,K=/LA/Alc,F=&lt;ALL&gt;,T=&lt;ALL&gt;,K=/LA/JnlSrc,F=FRANK COMMINS PLUMBING &amp; HEATING LTD,T=FRANK COMMINS PLUMBING &amp; HEATING LTD,K=/LA/"&amp;"CA/Nme,E=1,O=/LA/BseAmt,XLBVal:6=-206.000",)</f>
        <v>-206</v>
      </c>
    </row>
    <row r="583" spans="1:3" x14ac:dyDescent="0.25">
      <c r="A583" s="9" t="s">
        <v>63</v>
      </c>
      <c r="B583" s="9" t="s">
        <v>1179</v>
      </c>
      <c r="C583" s="16">
        <f>[1]!QAA_AGG("1,2,SS6,LA,F=KCA,K=DbC,F=A,K=/LA/Ldg,F=CJO142,T=CJO142,K=/LA/AccCde,F=001/2022,T=012/2022,K=/LA/Prd,F=P,T=PINV,K=/LA/JnlTyp,F=&lt;ALL&gt;,K=/LA/Alc,F=&lt;ALL&gt;,T=&lt;ALL&gt;,K=/LA/JnlSrc,F=JOE BUTLER,T=JOE BUTLER,K=/LA/CA/Nme,E=1,O=/LA/BseAmt,XLBVal:6=-205.600",)</f>
        <v>-205.6</v>
      </c>
    </row>
    <row r="584" spans="1:3" x14ac:dyDescent="0.25">
      <c r="A584" s="9" t="s">
        <v>1180</v>
      </c>
      <c r="B584" s="9" t="s">
        <v>1181</v>
      </c>
      <c r="C584" s="16">
        <f>[1]!QAA_AGG("1,2,SS6,LA,F=KCA,K=DbC,F=A,K=/LA/Ldg,F=CKY004,T=CKY004,K=/LA/AccCde,F=001/2022,T=012/2022,K=/LA/Prd,F=P,T=PINV,K=/LA/JnlTyp,F=&lt;ALL&gt;,K=/LA/Alc,F=&lt;ALL&gt;,T=&lt;ALL&gt;,K=/LA/JnlSrc,F=Kylie Walsh,T=Kylie Walsh,K=/LA/CA/Nme,E=1,O=/LA/BseAmt,XLBVal:6=-205.000",)</f>
        <v>-205</v>
      </c>
    </row>
    <row r="585" spans="1:3" x14ac:dyDescent="0.25">
      <c r="A585" s="9" t="s">
        <v>1182</v>
      </c>
      <c r="B585" s="9" t="s">
        <v>1183</v>
      </c>
      <c r="C585" s="16">
        <f>[1]!QAA_AGG("1,2,SS6,LA,F=KCA,K=DbC,F=A,K=/LA/Ldg,F=CSA020,T=CSA020,K=/LA/AccCde,F=001/2022,T=012/2022,K=/LA/Prd,F=P,T=PINV,K=/LA/JnlTyp,F=&lt;ALL&gt;,K=/LA/Alc,F=&lt;ALL&gt;,T=&lt;ALL&gt;,K=/LA/JnlSrc,F=Sarah Cranny,T=Sarah Cranny,K=/LA/CA/Nme,E=1,O=/LA/BseAmt,XLBVal:6=-205.000",)</f>
        <v>-205</v>
      </c>
    </row>
    <row r="586" spans="1:3" x14ac:dyDescent="0.25">
      <c r="A586" s="9" t="s">
        <v>1184</v>
      </c>
      <c r="B586" s="9" t="s">
        <v>1185</v>
      </c>
      <c r="C586" s="16">
        <f>[1]!QAA_AGG("1,2,SS6,LA,F=KCA,K=DbC,F=A,K=/LA/Ldg,F=CBR123,T=CBR123,K=/LA/AccCde,F=001/2022,T=012/2022,K=/LA/Prd,F=P,T=PINV,K=/LA/JnlTyp,F=&lt;ALL&gt;,K=/LA/Alc,F=&lt;ALL&gt;,T=&lt;ALL&gt;,K=/LA/JnlSrc,F=BRODMAC LTD,T=BRODMAC LTD,K=/LA/CA/Nme,E=1,O=/LA/BseAmt,XLBVal:6=-204.300",)</f>
        <v>-204.3</v>
      </c>
    </row>
    <row r="587" spans="1:3" x14ac:dyDescent="0.25">
      <c r="A587" s="9" t="s">
        <v>1186</v>
      </c>
      <c r="B587" s="9" t="s">
        <v>1187</v>
      </c>
      <c r="C587" s="16">
        <f>[1]!QAA_AGG("1,2,SS6,LA,F=KCA,K=DbC,F=A,K=/LA/Ldg,F=CAN185,T=CAN185,K=/LA/AccCde,F=001/2022,T=012/2022,K=/LA/Prd,F=P,T=PINV,K=/LA/JnlTyp,F=&lt;ALL&gt;,K=/LA/Alc,F=&lt;ALL&gt;,T=&lt;ALL&gt;,K=/LA/JnlSrc,F=ANN PRENDERGAST,T=ANN PRENDERGAST,K=/LA/CA/Nme,E=1,O=/LA/BseAmt,XLBVal:6=-204.000",)</f>
        <v>-204</v>
      </c>
    </row>
    <row r="588" spans="1:3" x14ac:dyDescent="0.25">
      <c r="A588" s="9" t="s">
        <v>1188</v>
      </c>
      <c r="B588" s="9" t="s">
        <v>1189</v>
      </c>
      <c r="C588" s="16">
        <f>[1]!QAA_AGG("1,2,SS6,LA,F=KCA,K=DbC,F=A,K=/LA/Ldg,F=CDE003,T=CDE003,K=/LA/AccCde,F=001/2022,T=012/2022,K=/LA/Prd,F=P,T=PINV,K=/LA/JnlTyp,F=&lt;ALL&gt;,K=/LA/Alc,F=&lt;ALL&gt;,T=&lt;ALL&gt;,K=/LA/JnlSrc,F=DEYCOM COMP SERVICES,T=DEYCOM COMP SERVICES,K=/LA/CA/Nme,E=1,O=/LA/BseAmt,XLBVal:6"&amp;"=-202.950",)</f>
        <v>-202.95</v>
      </c>
    </row>
    <row r="589" spans="1:3" x14ac:dyDescent="0.25">
      <c r="A589" s="9" t="s">
        <v>1198</v>
      </c>
      <c r="B589" s="9" t="s">
        <v>1199</v>
      </c>
      <c r="C589" s="16">
        <f>[1]!QAA_AGG("1,2,SS6,LA,F=KCA,K=DbC,F=A,K=/LA/Ldg,F=CEI030,T=CEI030,K=/LA/AccCde,F=001/2022,T=012/2022,K=/LA/Prd,F=P,T=PINV,K=/LA/JnlTyp,F=&lt;ALL&gt;,K=/LA/Alc,F=&lt;ALL&gt;,T=&lt;ALL&gt;,K=/LA/JnlSrc,F=EIRE OG CLG,T=EIRE OG CLG,K=/LA/CA/Nme,E=1,O=/LA/BseAmt,XLBVal:6=-200.000",)</f>
        <v>-200</v>
      </c>
    </row>
    <row r="590" spans="1:3" x14ac:dyDescent="0.25">
      <c r="A590" s="9" t="s">
        <v>1196</v>
      </c>
      <c r="B590" s="9" t="s">
        <v>1197</v>
      </c>
      <c r="C590" s="16">
        <f>[1]!QAA_AGG("1,2,SS6,LA,F=KCA,K=DbC,F=A,K=/LA/Ldg,F=CEL010,T=CEL010,K=/LA/AccCde,F=001/2022,T=012/2022,K=/LA/Prd,F=P,T=PINV,K=/LA/JnlTyp,F=&lt;ALL&gt;,K=/LA/Alc,F=&lt;ALL&gt;,T=&lt;ALL&gt;,K=/LA/JnlSrc,F=Ellen Fenton,T=Ellen Fenton,K=/LA/CA/Nme,E=1,O=/LA/BseAmt,XLBVal:6=-200.000",)</f>
        <v>-200</v>
      </c>
    </row>
    <row r="591" spans="1:3" x14ac:dyDescent="0.25">
      <c r="A591" s="9" t="s">
        <v>1200</v>
      </c>
      <c r="B591" s="9" t="s">
        <v>1201</v>
      </c>
      <c r="C591" s="16">
        <f>[1]!QAA_AGG("1,2,SS6,LA,F=KCA,K=DbC,F=A,K=/LA/Ldg,F=CAN001,T=CAN001,K=/LA/AccCde,F=001/2022,T=012/2022,K=/LA/Prd,F=P,T=PINV,K=/LA/JnlTyp,F=&lt;ALL&gt;,K=/LA/Alc,F=&lt;ALL&gt;,T=&lt;ALL&gt;,K=/LA/JnlSrc,F=Ann Quigley Kelly,T=Ann Quigley Kelly,K=/LA/CA/Nme,E=1,O=/LA/BseAmt,XLBVal:6=-200."&amp;"000",)</f>
        <v>-200</v>
      </c>
    </row>
    <row r="592" spans="1:3" x14ac:dyDescent="0.25">
      <c r="A592" s="9" t="s">
        <v>1202</v>
      </c>
      <c r="B592" s="9" t="s">
        <v>1203</v>
      </c>
      <c r="C592" s="16">
        <f>[1]!QAA_AGG("1,2,SS6,LA,F=KCA,K=DbC,F=A,K=/LA/Ldg,F=CBE073,T=CBE073,K=/LA/AccCde,F=001/2022,T=012/2022,K=/LA/Prd,F=P,T=PINV,K=/LA/JnlTyp,F=&lt;ALL&gt;,K=/LA/Alc,F=&lt;ALL&gt;,T=&lt;ALL&gt;,K=/LA/JnlSrc,F=BEIBHINN THORSCH,T=BEIBHINN THORSCH,K=/LA/CA/Nme,E=1,O=/LA/BseAmt,XLBVal:6=-200.00"&amp;"0",)</f>
        <v>-200</v>
      </c>
    </row>
    <row r="593" spans="1:3" x14ac:dyDescent="0.25">
      <c r="A593" s="9" t="s">
        <v>56</v>
      </c>
      <c r="B593" s="9" t="s">
        <v>1515</v>
      </c>
      <c r="C593" s="16">
        <f>[1]!QAA_AGG("1,2,SS6,LA,F=KCA,K=DbC,F=A,K=/LA/Ldg,F=CBO003,T=CBO003,K=/LA/AccCde,F=001/2022,T=012/2022,K=/LA/Prd,F=P,T=PINV,K=/LA/JnlTyp,F=&lt;ALL&gt;,K=/LA/Alc,F=&lt;ALL&gt;,T=&lt;ALL&gt;,K=/LA/JnlSrc,F=W D Bolster &amp; Son Services,T=W D Bolster &amp; Son Services,K=/LA/CA/Nme,E=1,O=/LA/Bse"&amp;"Amt,XLBVal:6=-200.000",)</f>
        <v>-200</v>
      </c>
    </row>
    <row r="594" spans="1:3" x14ac:dyDescent="0.25">
      <c r="A594" s="9" t="s">
        <v>1194</v>
      </c>
      <c r="B594" s="9" t="s">
        <v>1195</v>
      </c>
      <c r="C594" s="16">
        <f>[1]!QAA_AGG("1,2,SS6,LA,F=KCA,K=DbC,F=A,K=/LA/Ldg,F=CKI079,T=CKI079,K=/LA/AccCde,F=001/2022,T=012/2022,K=/LA/Prd,F=P,T=PINV,K=/LA/JnlTyp,F=&lt;ALL&gt;,K=/LA/Alc,F=&lt;ALL&gt;,T=&lt;ALL&gt;,K=/LA/JnlSrc,F=KILKENNY VOLUNTARY BODIES LTD,T=KILKENNY VOLUNTARY BODIES LTD,K=/LA/CA/Nme,E=1,O=/"&amp;"LA/BseAmt,XLBVal:6=-200.000",)</f>
        <v>-200</v>
      </c>
    </row>
    <row r="595" spans="1:3" x14ac:dyDescent="0.25">
      <c r="A595" s="9" t="s">
        <v>1192</v>
      </c>
      <c r="B595" s="9" t="s">
        <v>1193</v>
      </c>
      <c r="C595" s="16">
        <f>[1]!QAA_AGG("1,2,SS6,LA,F=KCA,K=DbC,F=A,K=/LA/Ldg,F=CFR032,T=CFR032,K=/LA/AccCde,F=001/2022,T=012/2022,K=/LA/Prd,F=P,T=PINV,K=/LA/JnlTyp,F=&lt;ALL&gt;,K=/LA/Alc,F=&lt;ALL&gt;,T=&lt;ALL&gt;,K=/LA/JnlSrc,F=FREEDOM SURF SCHOOL &amp; ADVENTURE,T=FREEDOM SURF SCHOOL &amp; ADVENTURE,K=/LA/CA/Nme,E=1"&amp;",O=/LA/BseAmt,XLBVal:6=-200.000",)</f>
        <v>-200</v>
      </c>
    </row>
    <row r="596" spans="1:3" x14ac:dyDescent="0.25">
      <c r="A596" s="9" t="s">
        <v>1204</v>
      </c>
      <c r="B596" s="9" t="s">
        <v>1205</v>
      </c>
      <c r="C596" s="16">
        <f>[1]!QAA_AGG("1,2,SS6,LA,F=KCA,K=DbC,F=A,K=/LA/Ldg,F=CTI001,T=CTI001,K=/LA/AccCde,F=001/2022,T=012/2022,K=/LA/Prd,F=P,T=PINV,K=/LA/JnlTyp,F=&lt;ALL&gt;,K=/LA/Alc,F=&lt;ALL&gt;,T=&lt;ALL&gt;,K=/LA/JnlSrc,F=Tiarnán Marum,T=Tiarnán Marum,K=/LA/CA/Nme,E=1,O=/LA/BseAmt,XLBVal:6=-200.000",)</f>
        <v>-200</v>
      </c>
    </row>
    <row r="597" spans="1:3" x14ac:dyDescent="0.25">
      <c r="A597" s="9" t="s">
        <v>1206</v>
      </c>
      <c r="B597" s="9" t="s">
        <v>1207</v>
      </c>
      <c r="C597" s="16">
        <f>[1]!QAA_AGG("1,2,SS6,LA,F=KCA,K=DbC,F=A,K=/LA/Ldg,F=CFL011,T=CFL011,K=/LA/AccCde,F=001/2022,T=012/2022,K=/LA/Prd,F=P,T=PINV,K=/LA/JnlTyp,F=&lt;ALL&gt;,K=/LA/Alc,F=&lt;ALL&gt;,T=&lt;ALL&gt;,K=/LA/JnlSrc,F=FLOWERS BY LUCY,T=FLOWERS BY LUCY,K=/LA/CA/Nme,E=1,O=/LA/BseAmt,XLBVal:6=-197.450",)</f>
        <v>-197.45</v>
      </c>
    </row>
    <row r="598" spans="1:3" x14ac:dyDescent="0.25">
      <c r="A598" s="9" t="s">
        <v>1208</v>
      </c>
      <c r="B598" s="9" t="s">
        <v>1209</v>
      </c>
      <c r="C598" s="16">
        <f>[1]!QAA_AGG("1,2,SS6,LA,F=KCA,K=DbC,F=A,K=/LA/Ldg,F=CMU016,T=CMU016,K=/LA/AccCde,F=001/2022,T=012/2022,K=/LA/Prd,F=P,T=PINV,K=/LA/JnlTyp,F=&lt;ALL&gt;,K=/LA/Alc,F=&lt;ALL&gt;,T=&lt;ALL&gt;,K=/LA/JnlSrc,F=MUNSTER EXPRESS LTD,T=MUNSTER EXPRESS LTD,K=/LA/CA/Nme,E=1,O=/LA/BseAmt,XLBVal:6=-"&amp;"196.800",)</f>
        <v>-196.8</v>
      </c>
    </row>
    <row r="599" spans="1:3" x14ac:dyDescent="0.25">
      <c r="A599" s="9" t="s">
        <v>49</v>
      </c>
      <c r="B599" s="9" t="s">
        <v>1210</v>
      </c>
      <c r="C599" s="16">
        <f>[1]!QAA_AGG("1,2,SS6,LA,F=KCA,K=DbC,F=A,K=/LA/Ldg,F=CED051,T=CED051,K=/LA/AccCde,F=001/2022,T=012/2022,K=/LA/Prd,F=P,T=PINV,K=/LA/JnlTyp,F=&lt;ALL&gt;,K=/LA/Alc,F=&lt;ALL&gt;,T=&lt;ALL&gt;,K=/LA/JnlSrc,F=EDUCOOT,T=EDUCOOT,K=/LA/CA/Nme,E=1,O=/LA/BseAmt,XLBVal:6=-196.200",)</f>
        <v>-196.2</v>
      </c>
    </row>
    <row r="600" spans="1:3" x14ac:dyDescent="0.25">
      <c r="A600" s="9" t="s">
        <v>33</v>
      </c>
      <c r="B600" s="9" t="s">
        <v>1211</v>
      </c>
      <c r="C600" s="16">
        <f>[1]!QAA_AGG("1,2,SS6,LA,F=KCA,K=DbC,F=A,K=/LA/Ldg,F=CID004,T=CID004,K=/LA/AccCde,F=001/2022,T=012/2022,K=/LA/Prd,F=P,T=PINV,K=/LA/JnlTyp,F=&lt;ALL&gt;,K=/LA/Alc,F=&lt;ALL&gt;,T=&lt;ALL&gt;,K=/LA/JnlSrc,F=IDENTITY PLASTIC PRINT (T/A IDENTITY),T=IDENTITY PLASTIC PRINT (T/A IDENTITY),K=/L"&amp;"A/CA/Nme,E=1,O=/LA/BseAmt,XLBVal:6=-195.570",)</f>
        <v>-195.57</v>
      </c>
    </row>
    <row r="601" spans="1:3" x14ac:dyDescent="0.25">
      <c r="A601" s="9" t="s">
        <v>1212</v>
      </c>
      <c r="B601" s="9" t="s">
        <v>1213</v>
      </c>
      <c r="C601" s="16">
        <f>[1]!QAA_AGG("1,2,SS6,LA,F=KCA,K=DbC,F=A,K=/LA/Ldg,F=CPR034,T=CPR034,K=/LA/AccCde,F=001/2022,T=012/2022,K=/LA/Prd,F=P,T=PINV,K=/LA/JnlTyp,F=&lt;ALL&gt;,K=/LA/Alc,F=&lt;ALL&gt;,T=&lt;ALL&gt;,K=/LA/JnlSrc,F=PROMED,T=PROMED,K=/LA/CA/Nme,E=1,O=/LA/BseAmt,XLBVal:6=-194.740",)</f>
        <v>-194.74</v>
      </c>
    </row>
    <row r="602" spans="1:3" x14ac:dyDescent="0.25">
      <c r="A602" s="9" t="s">
        <v>1214</v>
      </c>
      <c r="B602" s="9" t="s">
        <v>1215</v>
      </c>
      <c r="C602" s="16">
        <f>[1]!QAA_AGG("1,2,SS6,LA,F=KCA,K=DbC,F=A,K=/LA/Ldg,F=CJE015,T=CJE015,K=/LA/AccCde,F=001/2022,T=012/2022,K=/LA/Prd,F=P,T=PINV,K=/LA/JnlTyp,F=&lt;ALL&gt;,K=/LA/Alc,F=&lt;ALL&gt;,T=&lt;ALL&gt;,K=/LA/JnlSrc,F=JERRY FOGARTY,T=JERRY FOGARTY,K=/LA/CA/Nme,E=1,O=/LA/BseAmt,XLBVal:6=-192.000",)</f>
        <v>-192</v>
      </c>
    </row>
    <row r="603" spans="1:3" x14ac:dyDescent="0.25">
      <c r="A603" s="9" t="s">
        <v>1216</v>
      </c>
      <c r="B603" s="9" t="s">
        <v>1217</v>
      </c>
      <c r="C603" s="16">
        <f>[1]!QAA_AGG("1,2,SS6,LA,F=KCA,K=DbC,F=A,K=/LA/Ldg,F=CTO004,T=CTO004,K=/LA/AccCde,F=001/2022,T=012/2022,K=/LA/Prd,F=P,T=PINV,K=/LA/JnlTyp,F=&lt;ALL&gt;,K=/LA/Alc,F=&lt;ALL&gt;,T=&lt;ALL&gt;,K=/LA/JnlSrc,F=Tony Sinnott t/a Flagman.ie,T=Tony Sinnott t/a Flagman.ie,K=/LA/CA/Nme,E=1,O=/LA/B"&amp;"seAmt,XLBVal:6=-191.950",)</f>
        <v>-191.95</v>
      </c>
    </row>
    <row r="604" spans="1:3" x14ac:dyDescent="0.25">
      <c r="A604" s="9" t="s">
        <v>1218</v>
      </c>
      <c r="B604" s="9" t="s">
        <v>1219</v>
      </c>
      <c r="C604" s="16">
        <f>[1]!QAA_AGG("1,2,SS6,LA,F=KCA,K=DbC,F=A,K=/LA/Ldg,F=CLA002,T=CLA002,K=/LA/AccCde,F=001/2022,T=012/2022,K=/LA/Prd,F=P,T=PINV,K=/LA/JnlTyp,F=&lt;ALL&gt;,K=/LA/Alc,F=&lt;ALL&gt;,T=&lt;ALL&gt;,K=/LA/JnlSrc,F=BRIARCROFT LTD,T=BRIARCROFT LTD,K=/LA/CA/Nme,E=1,O=/LA/BseAmt,XLBVal:6=-191.750",)</f>
        <v>-191.75</v>
      </c>
    </row>
    <row r="605" spans="1:3" x14ac:dyDescent="0.25">
      <c r="A605" s="9" t="s">
        <v>1220</v>
      </c>
      <c r="B605" s="9" t="s">
        <v>1221</v>
      </c>
      <c r="C605" s="16">
        <f>[1]!QAA_AGG("1,2,SS6,LA,F=KCA,K=DbC,F=A,K=/LA/Ldg,F=CMO004,T=CMO004,K=/LA/AccCde,F=001/2022,T=012/2022,K=/LA/Prd,F=P,T=PINV,K=/LA/JnlTyp,F=&lt;ALL&gt;,K=/LA/Alc,F=&lt;ALL&gt;,T=&lt;ALL&gt;,K=/LA/JnlSrc,F=Motivational Interviewing Training Ireland,T=Motivational Interviewing Training Ir"&amp;"eland,K=/LA/CA/Nme,E=1,O=/LA/BseAmt,XLBVal:6=-190.000",)</f>
        <v>-190</v>
      </c>
    </row>
    <row r="606" spans="1:3" x14ac:dyDescent="0.25">
      <c r="A606" s="9" t="s">
        <v>1222</v>
      </c>
      <c r="B606" s="9" t="s">
        <v>1223</v>
      </c>
      <c r="C606" s="16">
        <f>[1]!QAA_AGG("1,2,SS6,LA,F=KCA,K=DbC,F=A,K=/LA/Ldg,F=CRE005,T=CRE005,K=/LA/AccCde,F=001/2022,T=012/2022,K=/LA/Prd,F=P,T=PINV,K=/LA/JnlTyp,F=&lt;ALL&gt;,K=/LA/Alc,F=&lt;ALL&gt;,T=&lt;ALL&gt;,K=/LA/JnlSrc,F=Recognition Express,T=Recognition Express,K=/LA/CA/Nme,E=1,O=/LA/BseAmt,XLBVal:6=-"&amp;"187.580",)</f>
        <v>-187.58</v>
      </c>
    </row>
    <row r="607" spans="1:3" x14ac:dyDescent="0.25">
      <c r="A607" s="9" t="s">
        <v>1224</v>
      </c>
      <c r="B607" s="9" t="s">
        <v>1225</v>
      </c>
      <c r="C607" s="16">
        <f>[1]!QAA_AGG("1,2,SS6,LA,F=KCA,K=DbC,F=A,K=/LA/Ldg,F=CIP003,T=CIP003,K=/LA/AccCde,F=001/2022,T=012/2022,K=/LA/Prd,F=P,T=PINV,K=/LA/JnlTyp,F=&lt;ALL&gt;,K=/LA/Alc,F=&lt;ALL&gt;,T=&lt;ALL&gt;,K=/LA/JnlSrc,F=IP TELECOM,T=IP TELECOM,K=/LA/CA/Nme,E=1,O=/LA/BseAmt,XLBVal:6=-187.180",)</f>
        <v>-187.18</v>
      </c>
    </row>
    <row r="608" spans="1:3" x14ac:dyDescent="0.25">
      <c r="A608" s="9" t="s">
        <v>101</v>
      </c>
      <c r="B608" s="9" t="s">
        <v>1168</v>
      </c>
      <c r="C608" s="16">
        <f>[1]!QAA_AGG("1,2,SS6,LA,F=KCA,K=DbC,F=A,K=/LA/Ldg,F=CRA048,T=CRA048,K=/LA/AccCde,F=001/2022,T=012/2022,K=/LA/Prd,F=P,T=PINV,K=/LA/JnlTyp,F=&lt;ALL&gt;,K=/LA/Alc,F=&lt;ALL&gt;,T=&lt;ALL&gt;,K=/LA/JnlSrc,F=RADIUS TELECOM,T=RADIUS TELECOM,K=/LA/CA/Nme,E=1,O=/LA/BseAmt,XLBVal:6=-184.840",)</f>
        <v>-184.84</v>
      </c>
    </row>
    <row r="609" spans="1:3" x14ac:dyDescent="0.25">
      <c r="A609" s="9" t="s">
        <v>1226</v>
      </c>
      <c r="B609" s="9" t="s">
        <v>1227</v>
      </c>
      <c r="C609" s="16">
        <f>[1]!QAA_AGG("1,2,SS6,LA,F=KCA,K=DbC,F=A,K=/LA/Ldg,F=CCR037,T=CCR037,K=/LA/AccCde,F=001/2022,T=012/2022,K=/LA/Prd,F=P,T=PINV,K=/LA/JnlTyp,F=&lt;ALL&gt;,K=/LA/Alc,F=&lt;ALL&gt;,T=&lt;ALL&gt;,K=/LA/JnlSrc,F=CRYSTAL CLEAR SPRINGS ENTERPRISES LTD,T=CRYSTAL CLEAR SPRINGS ENTERPRISES LTD,K=/L"&amp;"A/CA/Nme,E=1,O=/LA/BseAmt,XLBVal:6=-181.600",)</f>
        <v>-181.6</v>
      </c>
    </row>
    <row r="610" spans="1:3" x14ac:dyDescent="0.25">
      <c r="A610" s="9" t="s">
        <v>1232</v>
      </c>
      <c r="B610" s="9" t="s">
        <v>1233</v>
      </c>
      <c r="C610" s="16">
        <f>[1]!QAA_AGG("1,2,SS6,LA,F=KCA,K=DbC,F=A,K=/LA/Ldg,F=CJA005,T=CJA005,K=/LA/AccCde,F=001/2022,T=012/2022,K=/LA/Prd,F=P,T=PINV,K=/LA/JnlTyp,F=&lt;ALL&gt;,K=/LA/Alc,F=&lt;ALL&gt;,T=&lt;ALL&gt;,K=/LA/JnlSrc,F=JACINTA O TOOLE,T=JACINTA O TOOLE,K=/LA/CA/Nme,E=1,O=/LA/BseAmt,XLBVal:6=-180.000",)</f>
        <v>-180</v>
      </c>
    </row>
    <row r="611" spans="1:3" x14ac:dyDescent="0.25">
      <c r="A611" s="9" t="s">
        <v>1234</v>
      </c>
      <c r="B611" s="9" t="s">
        <v>1235</v>
      </c>
      <c r="C611" s="16">
        <f>[1]!QAA_AGG("1,2,SS6,LA,F=KCA,K=DbC,F=A,K=/LA/Ldg,F=CHY001,T=CHY001,K=/LA/AccCde,F=001/2022,T=012/2022,K=/LA/Prd,F=P,T=PINV,K=/LA/JnlTyp,F=&lt;ALL&gt;,K=/LA/Alc,F=&lt;ALL&gt;,T=&lt;ALL&gt;,K=/LA/JnlSrc,F=Hyperlink t/a Activelink,T=Hyperlink t/a Activelink,K=/LA/CA/Nme,E=1,O=/LA/BseAmt,"&amp;"XLBVal:6=-180.000",)</f>
        <v>-180</v>
      </c>
    </row>
    <row r="612" spans="1:3" x14ac:dyDescent="0.25">
      <c r="A612" s="9" t="s">
        <v>1238</v>
      </c>
      <c r="B612" s="9" t="s">
        <v>1239</v>
      </c>
      <c r="C612" s="16">
        <f>[1]!QAA_AGG("1,2,SS6,LA,F=KCA,K=DbC,F=A,K=/LA/Ldg,F=CAH001,T=CAH001,K=/LA/AccCde,F=001/2022,T=012/2022,K=/LA/Prd,F=P,T=PINV,K=/LA/JnlTyp,F=&lt;ALL&gt;,K=/LA/Alc,F=&lt;ALL&gt;,T=&lt;ALL&gt;,K=/LA/JnlSrc,F=AHERN FUELS,T=AHERN FUELS,K=/LA/CA/Nme,E=1,O=/LA/BseAmt,XLBVal:6=-177.000",)</f>
        <v>-177</v>
      </c>
    </row>
    <row r="613" spans="1:3" x14ac:dyDescent="0.25">
      <c r="A613" s="9" t="s">
        <v>1240</v>
      </c>
      <c r="B613" s="9" t="s">
        <v>1241</v>
      </c>
      <c r="C613" s="16">
        <f>[1]!QAA_AGG("1,2,SS6,LA,F=KCA,K=DbC,F=A,K=/LA/Ldg,F=CKS002,T=CKS002,K=/LA/AccCde,F=001/2022,T=012/2022,K=/LA/Prd,F=P,T=PINV,K=/LA/JnlTyp,F=&lt;ALL&gt;,K=/LA/Alc,F=&lt;ALL&gt;,T=&lt;ALL&gt;,K=/LA/JnlSrc,F=WILLIAM KINSELLA LTD T/A K SPORT,T=WILLIAM KINSELLA LTD T/A K SPORT,K=/LA/CA/Nme,E"&amp;"=1,O=/LA/BseAmt,XLBVal:6=-176.240",)</f>
        <v>-176.24</v>
      </c>
    </row>
    <row r="614" spans="1:3" x14ac:dyDescent="0.25">
      <c r="A614" s="9" t="s">
        <v>1242</v>
      </c>
      <c r="B614" s="9" t="s">
        <v>81</v>
      </c>
      <c r="C614" s="16">
        <f>[1]!QAA_AGG("1,2,SS6,LA,F=KCA,K=DbC,F=A,K=/LA/Ldg,F=CEF002,T=CEF002,K=/LA/AccCde,F=001/2022,T=012/2022,K=/LA/Prd,F=P,T=PINV,K=/LA/JnlTyp,F=&lt;ALL&gt;,K=/LA/Alc,F=&lt;ALL&gt;,T=&lt;ALL&gt;,K=/LA/JnlSrc,F=ECIFFO OFFICE LIMITED,T=ECIFFO OFFICE LIMITED,K=/LA/CA/Nme,E=1,O=/LA/BseAmt,XLBVal"&amp;":6=-175.800",)</f>
        <v>-175.8</v>
      </c>
    </row>
    <row r="615" spans="1:3" x14ac:dyDescent="0.25">
      <c r="A615" s="9" t="s">
        <v>1243</v>
      </c>
      <c r="B615" s="9" t="s">
        <v>1244</v>
      </c>
      <c r="C615" s="16">
        <f>[1]!QAA_AGG("1,2,SS6,LA,F=KCA,K=DbC,F=A,K=/LA/Ldg,F=CBT002,T=CBT002,K=/LA/AccCde,F=001/2022,T=012/2022,K=/LA/Prd,F=P,T=PINV,K=/LA/JnlTyp,F=&lt;ALL&gt;,K=/LA/Alc,F=&lt;ALL&gt;,T=&lt;ALL&gt;,K=/LA/JnlSrc,F=BT IRELAND,T=BT IRELAND,K=/LA/CA/Nme,E=1,O=/LA/BseAmt,XLBVal:6=-172.200",)</f>
        <v>-172.2</v>
      </c>
    </row>
    <row r="616" spans="1:3" x14ac:dyDescent="0.25">
      <c r="A616" s="9" t="s">
        <v>1245</v>
      </c>
      <c r="B616" s="9" t="s">
        <v>1246</v>
      </c>
      <c r="C616" s="16">
        <f>[1]!QAA_AGG("1,2,SS6,LA,F=KCA,K=DbC,F=A,K=/LA/Ldg,F=CSO010,T=CSO010,K=/LA/AccCde,F=001/2022,T=012/2022,K=/LA/Prd,F=P,T=PINV,K=/LA/JnlTyp,F=&lt;ALL&gt;,K=/LA/Alc,F=&lt;ALL&gt;,T=&lt;ALL&gt;,K=/LA/JnlSrc,F=SOLAR SIGNS AND GRAPHICS,T=SOLAR SIGNS AND GRAPHICS,K=/LA/CA/Nme,E=1,O=/LA/BseAmt,"&amp;"XLBVal:6=-172.200",)</f>
        <v>-172.2</v>
      </c>
    </row>
    <row r="617" spans="1:3" x14ac:dyDescent="0.25">
      <c r="A617" s="9" t="s">
        <v>1177</v>
      </c>
      <c r="B617" s="9" t="s">
        <v>1178</v>
      </c>
      <c r="C617" s="16">
        <f>[1]!QAA_AGG("1,2,SS6,LA,F=KCA,K=DbC,F=A,K=/LA/Ldg,F=CPI008,T=CPI008,K=/LA/AccCde,F=001/2022,T=012/2022,K=/LA/Prd,F=P,T=PINV,K=/LA/JnlTyp,F=&lt;ALL&gt;,K=/LA/Alc,F=&lt;ALL&gt;,T=&lt;ALL&gt;,K=/LA/JnlSrc,F=PITNEY BOWES FINANCE IRELAND (LEASE),T=PITNEY BOWES FINANCE IRELAND (LEASE),K=/LA/"&amp;"CA/Nme,E=1,O=/LA/BseAmt,XLBVal:6=-169.740",)</f>
        <v>-169.74</v>
      </c>
    </row>
    <row r="618" spans="1:3" x14ac:dyDescent="0.25">
      <c r="A618" s="9" t="s">
        <v>1249</v>
      </c>
      <c r="B618" s="9" t="s">
        <v>1250</v>
      </c>
      <c r="C618" s="16">
        <f>[1]!QAA_AGG("1,2,SS6,LA,F=KCA,K=DbC,F=A,K=/LA/Ldg,F=CSO007,T=CSO007,K=/LA/AccCde,F=001/2022,T=012/2022,K=/LA/Prd,F=P,T=PINV,K=/LA/JnlTyp,F=&lt;ALL&gt;,K=/LA/Alc,F=&lt;ALL&gt;,T=&lt;ALL&gt;,K=/LA/JnlSrc,F=SOLACE COUNSELLING &amp; THERAPY,T=SOLACE COUNSELLING &amp; THERAPY,K=/LA/CA/Nme,E=1,O=/LA"&amp;"/BseAmt,XLBVal:6=-168.000",)</f>
        <v>-168</v>
      </c>
    </row>
    <row r="619" spans="1:3" x14ac:dyDescent="0.25">
      <c r="A619" s="9" t="s">
        <v>1345</v>
      </c>
      <c r="B619" s="9" t="s">
        <v>1346</v>
      </c>
      <c r="C619" s="16">
        <f>[1]!QAA_AGG("1,2,SS6,LA,F=KCA,K=DbC,F=A,K=/LA/Ldg,F=CWA015,T=CWA015,K=/LA/AccCde,F=001/2022,T=012/2022,K=/LA/Prd,F=P,T=PINV,K=/LA/JnlTyp,F=&lt;ALL&gt;,K=/LA/Alc,F=&lt;ALL&gt;,T=&lt;ALL&gt;,K=/LA/JnlSrc,F=Waterford &amp; East Munster Schools Athletic Assoc,T=Waterford &amp; East Munster Schools"&amp;" Athletic Assoc,K=/LA/CA/Nme,E=1,O=/LA/BseAmt,XLBVal:6=-167.000",)</f>
        <v>-167</v>
      </c>
    </row>
    <row r="620" spans="1:3" x14ac:dyDescent="0.25">
      <c r="A620" s="9" t="s">
        <v>1251</v>
      </c>
      <c r="B620" s="9" t="s">
        <v>1252</v>
      </c>
      <c r="C620" s="16">
        <f>[1]!QAA_AGG("1,2,SS6,LA,F=KCA,K=DbC,F=A,K=/LA/Ldg,F=CDU015,T=CDU015,K=/LA/AccCde,F=001/2022,T=012/2022,K=/LA/Prd,F=P,T=PINV,K=/LA/JnlTyp,F=&lt;ALL&gt;,K=/LA/Alc,F=&lt;ALL&gt;,T=&lt;ALL&gt;,K=/LA/JnlSrc,F=DUNPHYS SUPERMARKET,T=DUNPHYS SUPERMARKET,K=/LA/CA/Nme,E=1,O=/LA/BseAmt,XLBVal:6=-"&amp;"161.240",)</f>
        <v>-161.24</v>
      </c>
    </row>
    <row r="621" spans="1:3" x14ac:dyDescent="0.25">
      <c r="A621" s="9" t="s">
        <v>1255</v>
      </c>
      <c r="B621" s="9" t="s">
        <v>1256</v>
      </c>
      <c r="C621" s="16">
        <f>[1]!QAA_AGG("1,2,SS6,LA,F=KCA,K=DbC,F=A,K=/LA/Ldg,F=CNO024,T=CNO024,K=/LA/AccCde,F=001/2022,T=012/2022,K=/LA/Prd,F=P,T=PINV,K=/LA/JnlTyp,F=&lt;ALL&gt;,K=/LA/Alc,F=&lt;ALL&gt;,T=&lt;ALL&gt;,K=/LA/JnlSrc,F=NORE VALLEY PARK,T=NORE VALLEY PARK,K=/LA/CA/Nme,E=1,O=/LA/BseAmt,XLBVal:6=-160.00"&amp;"0",)</f>
        <v>-160</v>
      </c>
    </row>
    <row r="622" spans="1:3" x14ac:dyDescent="0.25">
      <c r="A622" s="9" t="s">
        <v>1253</v>
      </c>
      <c r="B622" s="9" t="s">
        <v>1254</v>
      </c>
      <c r="C622" s="16">
        <f>[1]!QAA_AGG("1,2,SS6,LA,F=KCA,K=DbC,F=A,K=/LA/Ldg,F=CMU001,T=CMU001,K=/LA/AccCde,F=001/2022,T=012/2022,K=/LA/Prd,F=P,T=PINV,K=/LA/JnlTyp,F=&lt;ALL&gt;,K=/LA/Alc,F=&lt;ALL&gt;,T=&lt;ALL&gt;,K=/LA/JnlSrc,F=Music Generation Louth,T=Music Generation Louth,K=/LA/CA/Nme,E=1,O=/LA/BseAmt,XLBV"&amp;"al:6=-160.000",)</f>
        <v>-160</v>
      </c>
    </row>
    <row r="623" spans="1:3" x14ac:dyDescent="0.25">
      <c r="A623" s="9" t="s">
        <v>54</v>
      </c>
      <c r="B623" s="9" t="s">
        <v>1257</v>
      </c>
      <c r="C623" s="16">
        <f>[1]!QAA_AGG("1,2,SS6,LA,F=KCA,K=DbC,F=A,K=/LA/Ldg,F=CBL014,T=CBL014,K=/LA/AccCde,F=001/2022,T=012/2022,K=/LA/Prd,F=P,T=PINV,K=/LA/JnlTyp,F=&lt;ALL&gt;,K=/LA/Alc,F=&lt;ALL&gt;,T=&lt;ALL&gt;,K=/LA/JnlSrc,F=BLANCHFIELD MECHANICAL MAINTENANCE LTD,T=BLANCHFIELD MECHANICAL MAINTENANCE LTD,K="&amp;"/LA/CA/Nme,E=1,O=/LA/BseAmt,XLBVal:6=-157.500",)</f>
        <v>-157.5</v>
      </c>
    </row>
    <row r="624" spans="1:3" x14ac:dyDescent="0.25">
      <c r="A624" s="9" t="s">
        <v>1341</v>
      </c>
      <c r="B624" s="9" t="s">
        <v>1342</v>
      </c>
      <c r="C624" s="16">
        <f>[1]!QAA_AGG("1,2,SS6,LA,F=KCA,K=DbC,F=A,K=/LA/Ldg,F=CMA213,T=CMA213,K=/LA/AccCde,F=001/2022,T=012/2022,K=/LA/Prd,F=P,T=PINV,K=/LA/JnlTyp,F=&lt;ALL&gt;,K=/LA/Alc,F=&lt;ALL&gt;,T=&lt;ALL&gt;,K=/LA/JnlSrc,F=MARY LYNG,T=MARY LYNG,K=/LA/CA/Nme,E=1,O=/LA/BseAmt,XLBVal:6=-156.000",)</f>
        <v>-156</v>
      </c>
    </row>
    <row r="625" spans="1:3" x14ac:dyDescent="0.25">
      <c r="A625" s="9" t="s">
        <v>1258</v>
      </c>
      <c r="B625" s="9" t="s">
        <v>1259</v>
      </c>
      <c r="C625" s="16">
        <f>[1]!QAA_AGG("1,2,SS6,LA,F=KCA,K=DbC,F=A,K=/LA/Ldg,F=CWA001,T=CWA001,K=/LA/AccCde,F=001/2022,T=012/2022,K=/LA/Prd,F=P,T=PINV,K=/LA/JnlTyp,F=&lt;ALL&gt;,K=/LA/Alc,F=&lt;ALL&gt;,T=&lt;ALL&gt;,K=/LA/JnlSrc,F=Waterford Muay Thai,T=Waterford Muay Thai,K=/LA/CA/Nme,E=1,O=/LA/BseAmt,XLBVal:6=-"&amp;"156.000",)</f>
        <v>-156</v>
      </c>
    </row>
    <row r="626" spans="1:3" x14ac:dyDescent="0.25">
      <c r="A626" s="9" t="s">
        <v>1260</v>
      </c>
      <c r="B626" s="9" t="s">
        <v>1261</v>
      </c>
      <c r="C626" s="16">
        <f>[1]!QAA_AGG("1,2,SS6,LA,F=KCA,K=DbC,F=A,K=/LA/Ldg,F=CCO144,T=CCO144,K=/LA/AccCde,F=001/2022,T=012/2022,K=/LA/Prd,F=P,T=PINV,K=/LA/JnlTyp,F=&lt;ALL&gt;,K=/LA/Alc,F=&lt;ALL&gt;,T=&lt;ALL&gt;,K=/LA/JnlSrc,F=COUGHLAN GARDEN EQUIPMENT (KILKENNY) LTD.,T=COUGHLAN GARDEN EQUIPMENT (KILKENNY) L"&amp;"TD.,K=/LA/CA/Nme,E=1,O=/LA/BseAmt,XLBVal:6=-154.000",)</f>
        <v>-154</v>
      </c>
    </row>
    <row r="627" spans="1:3" x14ac:dyDescent="0.25">
      <c r="A627" s="9" t="s">
        <v>41</v>
      </c>
      <c r="B627" s="9" t="s">
        <v>1516</v>
      </c>
      <c r="C627" s="16">
        <f>[1]!QAA_AGG("1,2,SS6,LA,F=KCA,K=DbC,F=A,K=/LA/Ldg,F=CCO012,T=CCO012,K=/LA/AccCde,F=001/2022,T=012/2022,K=/LA/Prd,F=P,T=PINV,K=/LA/JnlTyp,F=&lt;ALL&gt;,K=/LA/Alc,F=&lt;ALL&gt;,T=&lt;ALL&gt;,K=/LA/JnlSrc,F=Colette Flynn (Hannah Scholarship,T=Colette Flynn (Hannah Scholarship,K=/LA/CA/Nme"&amp;",E=1,O=/LA/BseAmt,XLBVal:6=-150.000",)</f>
        <v>-150</v>
      </c>
    </row>
    <row r="628" spans="1:3" x14ac:dyDescent="0.25">
      <c r="A628" s="9" t="s">
        <v>1517</v>
      </c>
      <c r="B628" s="9" t="s">
        <v>1518</v>
      </c>
      <c r="C628" s="16">
        <f>[1]!QAA_AGG("1,2,SS6,LA,F=KCA,K=DbC,F=A,K=/LA/Ldg,F=CEV003,T=CEV003,K=/LA/AccCde,F=001/2022,T=012/2022,K=/LA/Prd,F=P,T=PINV,K=/LA/JnlTyp,F=&lt;ALL&gt;,K=/LA/Alc,F=&lt;ALL&gt;,T=&lt;ALL&gt;,K=/LA/JnlSrc,F=Karena Whelan (Eve Dunphy Scholarship),T=Karena Whelan (Eve Dunphy Scholarship),K="&amp;"/LA/CA/Nme,E=1,O=/LA/BseAmt,XLBVal:6=-150.000",)</f>
        <v>-150</v>
      </c>
    </row>
    <row r="629" spans="1:3" x14ac:dyDescent="0.25">
      <c r="A629" s="9" t="s">
        <v>1519</v>
      </c>
      <c r="B629" s="9" t="s">
        <v>1520</v>
      </c>
      <c r="C629" s="16">
        <f>[1]!QAA_AGG("1,2,SS6,LA,F=KCA,K=DbC,F=A,K=/LA/Ldg,F=CES014,T=CES014,K=/LA/AccCde,F=001/2022,T=012/2022,K=/LA/Prd,F=P,T=PINV,K=/LA/JnlTyp,F=&lt;ALL&gt;,K=/LA/Alc,F=&lt;ALL&gt;,T=&lt;ALL&gt;,K=/LA/JnlSrc,F=Esther Reddy (Niamh Scholarship),T=Esther Reddy (Niamh Scholarship),K=/LA/CA/Nme,E"&amp;"=1,O=/LA/BseAmt,XLBVal:6=-150.000",)</f>
        <v>-150</v>
      </c>
    </row>
    <row r="630" spans="1:3" x14ac:dyDescent="0.25">
      <c r="A630" s="9" t="s">
        <v>1270</v>
      </c>
      <c r="B630" s="9" t="s">
        <v>1271</v>
      </c>
      <c r="C630" s="16">
        <f>[1]!QAA_AGG("1,2,SS6,LA,F=KCA,K=DbC,F=A,K=/LA/Ldg,F=CCH014,T=CCH014,K=/LA/AccCde,F=001/2022,T=012/2022,K=/LA/Prd,F=P,T=PINV,K=/LA/JnlTyp,F=&lt;ALL&gt;,K=/LA/Alc,F=&lt;ALL&gt;,T=&lt;ALL&gt;,K=/LA/JnlSrc,F=CHRIS JACKSON,T=CHRIS JACKSON,K=/LA/CA/Nme,E=1,O=/LA/BseAmt,XLBVal:6=-150.000",)</f>
        <v>-150</v>
      </c>
    </row>
    <row r="631" spans="1:3" x14ac:dyDescent="0.25">
      <c r="A631" s="9" t="s">
        <v>1276</v>
      </c>
      <c r="B631" s="9" t="s">
        <v>1277</v>
      </c>
      <c r="C631" s="16">
        <f>[1]!QAA_AGG("1,2,SS6,LA,F=KCA,K=DbC,F=A,K=/LA/Ldg,F=CMA483,T=CMA483,K=/LA/AccCde,F=001/2022,T=012/2022,K=/LA/Prd,F=P,T=PINV,K=/LA/JnlTyp,F=&lt;ALL&gt;,K=/LA/Alc,F=&lt;ALL&gt;,T=&lt;ALL&gt;,K=/LA/JnlSrc,F=MAURA COTTRELL,T=MAURA COTTRELL,K=/LA/CA/Nme,E=1,O=/LA/BseAmt,XLBVal:6=-150.000",)</f>
        <v>-150</v>
      </c>
    </row>
    <row r="632" spans="1:3" x14ac:dyDescent="0.25">
      <c r="A632" s="9" t="s">
        <v>1521</v>
      </c>
      <c r="B632" s="9" t="s">
        <v>1522</v>
      </c>
      <c r="C632" s="16">
        <f>[1]!QAA_AGG("1,2,SS6,LA,F=KCA,K=DbC,F=A,K=/LA/Ldg,F=CMI006,T=CMI006,K=/LA/AccCde,F=001/2022,T=012/2022,K=/LA/Prd,F=P,T=PINV,K=/LA/JnlTyp,F=&lt;ALL&gt;,K=/LA/Alc,F=&lt;ALL&gt;,T=&lt;ALL&gt;,K=/LA/JnlSrc,F=Anne Marie Harney (Michael Scholarship),T=Anne Marie Harney (Michael Scholarship),"&amp;"K=/LA/CA/Nme,E=1,O=/LA/BseAmt,XLBVal:6=-150.000",)</f>
        <v>-150</v>
      </c>
    </row>
    <row r="633" spans="1:3" x14ac:dyDescent="0.25">
      <c r="A633" s="9" t="s">
        <v>1523</v>
      </c>
      <c r="B633" s="9" t="s">
        <v>1524</v>
      </c>
      <c r="C633" s="16">
        <f>[1]!QAA_AGG("1,2,SS6,LA,F=KCA,K=DbC,F=A,K=/LA/Ldg,F=CMO011,T=CMO011,K=/LA/AccCde,F=001/2022,T=012/2022,K=/LA/Prd,F=P,T=PINV,K=/LA/JnlTyp,F=&lt;ALL&gt;,K=/LA/Alc,F=&lt;ALL&gt;,T=&lt;ALL&gt;,K=/LA/JnlSrc,F=Michael Morrissey (Shane Scholarship),T=Michael Morrissey (Shane Scholarship),K=/L"&amp;"A/CA/Nme,E=1,O=/LA/BseAmt,XLBVal:6=-150.000",)</f>
        <v>-150</v>
      </c>
    </row>
    <row r="634" spans="1:3" x14ac:dyDescent="0.25">
      <c r="A634" s="9" t="s">
        <v>1272</v>
      </c>
      <c r="B634" s="9" t="s">
        <v>1273</v>
      </c>
      <c r="C634" s="16">
        <f>[1]!QAA_AGG("1,2,SS6,LA,F=KCA,K=DbC,F=A,K=/LA/Ldg,F=COL001,T=COL001,K=/LA/AccCde,F=001/2022,T=012/2022,K=/LA/Prd,F=P,T=PINV,K=/LA/JnlTyp,F=&lt;ALL&gt;,K=/LA/Alc,F=&lt;ALL&gt;,T=&lt;ALL&gt;,K=/LA/JnlSrc,F=Oluwatomi Sikir-Laih Omoola,T=Oluwatomi Sikir-Laih Omoola,K=/LA/CA/Nme,E=1,O=/LA/B"&amp;"seAmt,XLBVal:6=-150.000",)</f>
        <v>-150</v>
      </c>
    </row>
    <row r="635" spans="1:3" x14ac:dyDescent="0.25">
      <c r="A635" s="9" t="s">
        <v>1274</v>
      </c>
      <c r="B635" s="9" t="s">
        <v>1275</v>
      </c>
      <c r="C635" s="16">
        <f>[1]!QAA_AGG("1,2,SS6,LA,F=KCA,K=DbC,F=A,K=/LA/Ldg,F=COR031,T=COR031,K=/LA/AccCde,F=001/2022,T=012/2022,K=/LA/Prd,F=P,T=PINV,K=/LA/JnlTyp,F=&lt;ALL&gt;,K=/LA/Alc,F=&lt;ALL&gt;,T=&lt;ALL&gt;,K=/LA/JnlSrc,F=ORNA MURRAY,T=ORNA MURRAY,K=/LA/CA/Nme,E=1,O=/LA/BseAmt,XLBVal:6=-150.000",)</f>
        <v>-150</v>
      </c>
    </row>
    <row r="636" spans="1:3" x14ac:dyDescent="0.25">
      <c r="A636" s="9" t="s">
        <v>1525</v>
      </c>
      <c r="B636" s="9" t="s">
        <v>1526</v>
      </c>
      <c r="C636" s="16">
        <f>[1]!QAA_AGG("1,2,SS6,LA,F=KCA,K=DbC,F=A,K=/LA/Ldg,F=CGR006,T=CGR006,K=/LA/AccCde,F=001/2022,T=012/2022,K=/LA/Prd,F=P,T=PINV,K=/LA/JnlTyp,F=&lt;ALL&gt;,K=/LA/Alc,F=&lt;ALL&gt;,T=&lt;ALL&gt;,K=/LA/JnlSrc,F=Anthony O'Neill (Grace Scholarship),T=Anthony O'Neill (Grace Scholarship),K=/LA/CA"&amp;"/Nme,E=1,O=/LA/BseAmt,XLBVal:6=-150.000",)</f>
        <v>-150</v>
      </c>
    </row>
    <row r="637" spans="1:3" x14ac:dyDescent="0.25">
      <c r="A637" s="9" t="s">
        <v>1268</v>
      </c>
      <c r="B637" s="9" t="s">
        <v>1269</v>
      </c>
      <c r="C637" s="16">
        <f>[1]!QAA_AGG("1,2,SS6,LA,F=KCA,K=DbC,F=A,K=/LA/Ldg,F=CVO005,T=CVO005,K=/LA/AccCde,F=001/2022,T=012/2022,K=/LA/Prd,F=P,T=PINV,K=/LA/JnlTyp,F=&lt;ALL&gt;,K=/LA/Alc,F=&lt;ALL&gt;,T=&lt;ALL&gt;,K=/LA/JnlSrc,F=TRAVELLERS VOICE MAGAZINE,T=TRAVELLERS VOICE MAGAZINE,K=/LA/CA/Nme,E=1,O=/LA/BseAm"&amp;"t,XLBVal:6=-150.000",)</f>
        <v>-150</v>
      </c>
    </row>
    <row r="638" spans="1:3" x14ac:dyDescent="0.25">
      <c r="A638" s="9" t="s">
        <v>1264</v>
      </c>
      <c r="B638" s="9" t="s">
        <v>1265</v>
      </c>
      <c r="C638" s="16">
        <f>[1]!QAA_AGG("1,2,SS6,LA,F=KCA,K=DbC,F=A,K=/LA/Ldg,F=CSE005,T=CSE005,K=/LA/AccCde,F=001/2022,T=012/2022,K=/LA/Prd,F=P,T=PINV,K=/LA/JnlTyp,F=&lt;ALL&gt;,K=/LA/Alc,F=&lt;ALL&gt;,T=&lt;ALL&gt;,K=/LA/JnlSrc,F=Seachtain na Gaeilge,T=Seachtain na Gaeilge,K=/LA/CA/Nme,E=1,O=/LA/BseAmt,XLBVal:6"&amp;"=-150.000",)</f>
        <v>-150</v>
      </c>
    </row>
    <row r="639" spans="1:3" x14ac:dyDescent="0.25">
      <c r="A639" s="9" t="s">
        <v>1266</v>
      </c>
      <c r="B639" s="9" t="s">
        <v>1267</v>
      </c>
      <c r="C639" s="16">
        <f>[1]!QAA_AGG("1,2,SS6,LA,F=KCA,K=DbC,F=A,K=/LA/Ldg,F=CSH009,T=CSH009,K=/LA/AccCde,F=001/2022,T=012/2022,K=/LA/Prd,F=P,T=PINV,K=/LA/JnlTyp,F=&lt;ALL&gt;,K=/LA/Alc,F=&lt;ALL&gt;,T=&lt;ALL&gt;,K=/LA/JnlSrc,F=Shaun Geoghegan (Refund),T=Shaun Geoghegan (Refund),K=/LA/CA/Nme,E=1,O=/LA/BseAmt,"&amp;"XLBVal:6=-150.000",)</f>
        <v>-150</v>
      </c>
    </row>
    <row r="640" spans="1:3" x14ac:dyDescent="0.25">
      <c r="A640" s="9" t="s">
        <v>1278</v>
      </c>
      <c r="B640" s="9" t="s">
        <v>1279</v>
      </c>
      <c r="C640" s="16">
        <f>[1]!QAA_AGG("1,2,SS6,LA,F=KCA,K=DbC,F=A,K=/LA/Ldg,F=CGI006,T=CGI006,K=/LA/AccCde,F=001/2022,T=012/2022,K=/LA/Prd,F=P,T=PINV,K=/LA/JnlTyp,F=&lt;ALL&gt;,K=/LA/Alc,F=&lt;ALL&gt;,T=&lt;ALL&gt;,K=/LA/JnlSrc,F=GIBBONS REMOVALS &amp; STORAGE,T=GIBBONS REMOVALS &amp; STORAGE,K=/LA/CA/Nme,E=1,O=/LA/Bse"&amp;"Amt,XLBVal:6=-147.600",)</f>
        <v>-147.6</v>
      </c>
    </row>
    <row r="641" spans="1:3" x14ac:dyDescent="0.25">
      <c r="A641" s="9" t="s">
        <v>1282</v>
      </c>
      <c r="B641" s="9" t="s">
        <v>1283</v>
      </c>
      <c r="C641" s="16">
        <f>[1]!QAA_AGG("1,2,SS6,LA,F=KCA,K=DbC,F=A,K=/LA/Ldg,F=CPC003,T=CPC003,K=/LA/AccCde,F=001/2022,T=012/2022,K=/LA/Prd,F=P,T=PINV,K=/LA/JnlTyp,F=&lt;ALL&gt;,K=/LA/Alc,F=&lt;ALL&gt;,T=&lt;ALL&gt;,K=/LA/JnlSrc,F=PC PERIPHERALS,T=PC PERIPHERALS,K=/LA/CA/Nme,E=1,O=/LA/BseAmt,XLBVal:6=-147.550",)</f>
        <v>-147.55000000000001</v>
      </c>
    </row>
    <row r="642" spans="1:3" x14ac:dyDescent="0.25">
      <c r="A642" s="9" t="s">
        <v>1284</v>
      </c>
      <c r="B642" s="9" t="s">
        <v>1285</v>
      </c>
      <c r="C642" s="16">
        <f>[1]!QAA_AGG("1,2,SS6,LA,F=KCA,K=DbC,F=A,K=/LA/Ldg,F=CLA094,T=CLA094,K=/LA/AccCde,F=001/2022,T=012/2022,K=/LA/Prd,F=P,T=PINV,K=/LA/JnlTyp,F=&lt;ALL&gt;,K=/LA/Alc,F=&lt;ALL&gt;,T=&lt;ALL&gt;,K=/LA/JnlSrc,F=LAURA FITZPATRICK,T=LAURA FITZPATRICK,K=/LA/CA/Nme,E=1,O=/LA/BseAmt,XLBVal:6=-145."&amp;"630",)</f>
        <v>-145.63</v>
      </c>
    </row>
    <row r="643" spans="1:3" x14ac:dyDescent="0.25">
      <c r="A643" s="9" t="s">
        <v>1286</v>
      </c>
      <c r="B643" s="9" t="s">
        <v>1287</v>
      </c>
      <c r="C643" s="16">
        <f>[1]!QAA_AGG("1,2,SS6,LA,F=KCA,K=DbC,F=A,K=/LA/Ldg,F=CSH061,T=CSH061,K=/LA/AccCde,F=001/2022,T=012/2022,K=/LA/Prd,F=P,T=PINV,K=/LA/JnlTyp,F=&lt;ALL&gt;,K=/LA/Alc,F=&lt;ALL&gt;,T=&lt;ALL&gt;,K=/LA/JnlSrc,F=SHERWOODS1,T=SHERWOODS1,K=/LA/CA/Nme,E=1,O=/LA/BseAmt,XLBVal:6=-144.930",)</f>
        <v>-144.93</v>
      </c>
    </row>
    <row r="644" spans="1:3" x14ac:dyDescent="0.25">
      <c r="A644" s="9" t="s">
        <v>1288</v>
      </c>
      <c r="B644" s="9" t="s">
        <v>1289</v>
      </c>
      <c r="C644" s="16">
        <f>[1]!QAA_AGG("1,2,SS6,LA,F=KCA,K=DbC,F=A,K=/LA/Ldg,F=CCO132,T=CCO132,K=/LA/AccCde,F=001/2022,T=012/2022,K=/LA/Prd,F=P,T=PINV,K=/LA/JnlTyp,F=&lt;ALL&gt;,K=/LA/Alc,F=&lt;ALL&gt;,T=&lt;ALL&gt;,K=/LA/JnlSrc,F=COYNE GLASS AND GLAZING,T=COYNE GLASS AND GLAZING,K=/LA/CA/Nme,E=1,O=/LA/BseAmt,XL"&amp;"BVal:6=-144.000",)</f>
        <v>-144</v>
      </c>
    </row>
    <row r="645" spans="1:3" x14ac:dyDescent="0.25">
      <c r="A645" s="9" t="s">
        <v>1290</v>
      </c>
      <c r="B645" s="9" t="s">
        <v>1291</v>
      </c>
      <c r="C645" s="16">
        <f>[1]!QAA_AGG("1,2,SS6,LA,F=KCA,K=DbC,F=A,K=/LA/Ldg,F=CSE001,T=CSE001,K=/LA/AccCde,F=001/2022,T=012/2022,K=/LA/Prd,F=P,T=PINV,K=/LA/JnlTyp,F=&lt;ALL&gt;,K=/LA/Alc,F=&lt;ALL&gt;,T=&lt;ALL&gt;,K=/LA/JnlSrc,F=S &amp; E Kennedy &amp; Co. Ltd,T=S &amp; E Kennedy &amp; Co. Ltd,K=/LA/CA/Nme,E=1,O=/LA/BseAmt,XL"&amp;"BVal:6=-140.170",)</f>
        <v>-140.16999999999999</v>
      </c>
    </row>
    <row r="646" spans="1:3" x14ac:dyDescent="0.25">
      <c r="A646" s="9" t="s">
        <v>1228</v>
      </c>
      <c r="B646" s="9" t="s">
        <v>1229</v>
      </c>
      <c r="C646" s="16">
        <f>[1]!QAA_AGG("1,2,SS6,LA,F=KCA,K=DbC,F=A,K=/LA/Ldg,F=CKB000,T=CKB000,K=/LA/AccCde,F=001/2022,T=012/2022,K=/LA/Prd,F=P,T=PINV,K=/LA/JnlTyp,F=&lt;ALL&gt;,K=/LA/Alc,F=&lt;ALL&gt;,T=&lt;ALL&gt;,K=/LA/JnlSrc,F=KILKENNY BOWL,T=KILKENNY BOWL,K=/LA/CA/Nme,E=1,O=/LA/BseAmt,XLBVal:6=-140.000",)</f>
        <v>-140</v>
      </c>
    </row>
    <row r="647" spans="1:3" x14ac:dyDescent="0.25">
      <c r="A647" s="9" t="s">
        <v>1230</v>
      </c>
      <c r="B647" s="9" t="s">
        <v>1231</v>
      </c>
      <c r="C647" s="16">
        <f>[1]!QAA_AGG("1,2,SS6,LA,F=KCA,K=DbC,F=A,K=/LA/Ldg,F=CIR001,T=CIR001,K=/LA/AccCde,F=001/2022,T=012/2022,K=/LA/Prd,F=P,T=PINV,K=/LA/JnlTyp,F=&lt;ALL&gt;,K=/LA/Alc,F=&lt;ALL&gt;,T=&lt;ALL&gt;,K=/LA/JnlSrc,F=Irish Mathematics Teachers Association,T=Irish Mathematics Teachers Association,K="&amp;"/LA/CA/Nme,E=1,O=/LA/BseAmt,XLBVal:6=-140.000",)</f>
        <v>-140</v>
      </c>
    </row>
    <row r="648" spans="1:3" x14ac:dyDescent="0.25">
      <c r="A648" s="9" t="s">
        <v>72</v>
      </c>
      <c r="B648" s="9" t="s">
        <v>1292</v>
      </c>
      <c r="C648" s="16">
        <f>[1]!QAA_AGG("1,2,SS6,LA,F=KCA,K=DbC,F=A,K=/LA/Ldg,F=CMA020,T=CMA020,K=/LA/AccCde,F=001/2022,T=012/2022,K=/LA/Prd,F=P,T=PINV,K=/LA/JnlTyp,F=&lt;ALL&gt;,K=/LA/Alc,F=&lt;ALL&gt;,T=&lt;ALL&gt;,K=/LA/JnlSrc,F=Martha Bolger,T=Martha Bolger,K=/LA/CA/Nme,E=1,O=/LA/BseAmt,XLBVal:6=-139.880",)</f>
        <v>-139.88</v>
      </c>
    </row>
    <row r="649" spans="1:3" x14ac:dyDescent="0.25">
      <c r="A649" s="9" t="s">
        <v>1293</v>
      </c>
      <c r="B649" s="9" t="s">
        <v>1294</v>
      </c>
      <c r="C649" s="16">
        <f>[1]!QAA_AGG("1,2,SS6,LA,F=KCA,K=DbC,F=A,K=/LA/Ldg,F=CCA348,T=CCA348,K=/LA/AccCde,F=001/2022,T=012/2022,K=/LA/Prd,F=P,T=PINV,K=/LA/JnlTyp,F=&lt;ALL&gt;,K=/LA/Alc,F=&lt;ALL&gt;,T=&lt;ALL&gt;,K=/LA/JnlSrc,F=CARL STUART LTD,T=CARL STUART LTD,K=/LA/CA/Nme,E=1,O=/LA/BseAmt,XLBVal:6=-136.600",)</f>
        <v>-136.6</v>
      </c>
    </row>
    <row r="650" spans="1:3" x14ac:dyDescent="0.25">
      <c r="A650" s="9" t="s">
        <v>1295</v>
      </c>
      <c r="B650" s="9" t="s">
        <v>1296</v>
      </c>
      <c r="C650" s="16">
        <f>[1]!QAA_AGG("1,2,SS6,LA,F=KCA,K=DbC,F=A,K=/LA/Ldg,F=CBA036,T=CBA036,K=/LA/AccCde,F=001/2022,T=012/2022,K=/LA/Prd,F=P,T=PINV,K=/LA/JnlTyp,F=&lt;ALL&gt;,K=/LA/Alc,F=&lt;ALL&gt;,T=&lt;ALL&gt;,K=/LA/JnlSrc,F=BARRON FIRE &amp; FIRE SAFETY LTD.,T=BARRON FIRE &amp; FIRE SAFETY LTD.,K=/LA/CA/Nme,E=1,O"&amp;"=/LA/BseAmt,XLBVal:6=-136.200",)</f>
        <v>-136.19999999999999</v>
      </c>
    </row>
    <row r="651" spans="1:3" x14ac:dyDescent="0.25">
      <c r="A651" s="9" t="s">
        <v>1297</v>
      </c>
      <c r="B651" s="9" t="s">
        <v>1298</v>
      </c>
      <c r="C651" s="16">
        <f>[1]!QAA_AGG("1,2,SS6,LA,F=KCA,K=DbC,F=A,K=/LA/Ldg,F=CDA112,T=CDA112,K=/LA/AccCde,F=001/2022,T=012/2022,K=/LA/Prd,F=P,T=PINV,K=/LA/JnlTyp,F=&lt;ALL&gt;,K=/LA/Alc,F=&lt;ALL&gt;,T=&lt;ALL&gt;,K=/LA/JnlSrc,F=DAN FENLON HEATING &amp; PLUMBING LTD,T=DAN FENLON HEATING &amp; PLUMBING LTD,K=/LA/CA/Nme"&amp;",E=1,O=/LA/BseAmt,XLBVal:6=-135.220",)</f>
        <v>-135.22</v>
      </c>
    </row>
    <row r="652" spans="1:3" x14ac:dyDescent="0.25">
      <c r="A652" s="9" t="s">
        <v>1299</v>
      </c>
      <c r="B652" s="9" t="s">
        <v>1300</v>
      </c>
      <c r="C652" s="16">
        <f>[1]!QAA_AGG("1,2,SS6,LA,F=KCA,K=DbC,F=A,K=/LA/Ldg,F=CSI037,T=CSI037,K=/LA/AccCde,F=001/2022,T=012/2022,K=/LA/Prd,F=P,T=PINV,K=/LA/JnlTyp,F=&lt;ALL&gt;,K=/LA/Alc,F=&lt;ALL&gt;,T=&lt;ALL&gt;,K=/LA/JnlSrc,F=SIREN SECURITY LTD,T=SIREN SECURITY LTD,K=/LA/CA/Nme,E=1,O=/LA/BseAmt,XLBVal:6=-13"&amp;"5.070",)</f>
        <v>-135.07</v>
      </c>
    </row>
    <row r="653" spans="1:3" x14ac:dyDescent="0.25">
      <c r="A653" s="9" t="s">
        <v>1301</v>
      </c>
      <c r="B653" s="9" t="s">
        <v>1302</v>
      </c>
      <c r="C653" s="16">
        <f>[1]!QAA_AGG("1,2,SS6,LA,F=KCA,K=DbC,F=A,K=/LA/Ldg,F=CHU000,T=CHU000,K=/LA/AccCde,F=001/2022,T=012/2022,K=/LA/Prd,F=P,T=PINV,K=/LA/JnlTyp,F=&lt;ALL&gt;,K=/LA/Alc,F=&lt;ALL&gt;,T=&lt;ALL&gt;,K=/LA/JnlSrc,F=HUNT OFFICE.IE,T=HUNT OFFICE.IE,K=/LA/CA/Nme,E=1,O=/LA/BseAmt,XLBVal:6=-133.450",)</f>
        <v>-133.44999999999999</v>
      </c>
    </row>
    <row r="654" spans="1:3" x14ac:dyDescent="0.25">
      <c r="A654" s="9" t="s">
        <v>1303</v>
      </c>
      <c r="B654" s="9" t="s">
        <v>1304</v>
      </c>
      <c r="C654" s="16">
        <f>[1]!QAA_AGG("1,2,SS6,LA,F=KCA,K=DbC,F=A,K=/LA/Ldg,F=CMI116,T=CMI116,K=/LA/AccCde,F=001/2022,T=012/2022,K=/LA/Prd,F=P,T=PINV,K=/LA/JnlTyp,F=&lt;ALL&gt;,K=/LA/Alc,F=&lt;ALL&gt;,T=&lt;ALL&gt;,K=/LA/JnlSrc,F=MICHAEL BLACK,T=MICHAEL BLACK,K=/LA/CA/Nme,E=1,O=/LA/BseAmt,XLBVal:6=-130.000",)</f>
        <v>-130</v>
      </c>
    </row>
    <row r="655" spans="1:3" x14ac:dyDescent="0.25">
      <c r="A655" s="9" t="s">
        <v>1247</v>
      </c>
      <c r="B655" s="9" t="s">
        <v>1248</v>
      </c>
      <c r="C655" s="16">
        <f>[1]!QAA_AGG("1,2,SS6,LA,F=KCA,K=DbC,F=A,K=/LA/Ldg,F=CFA004,T=CFA004,K=/LA/AccCde,F=001/2022,T=012/2022,K=/LA/Prd,F=P,T=PINV,K=/LA/JnlTyp,F=&lt;ALL&gt;,K=/LA/Alc,F=&lt;ALL&gt;,T=&lt;ALL&gt;,K=/LA/JnlSrc,F=FAI SCHOOLS (LEINSTER BRANCH),T=FAI SCHOOLS (LEINSTER BRANCH),K=/LA/CA/Nme,E=1,O=/"&amp;"LA/BseAmt,XLBVal:6=-130.000",)</f>
        <v>-130</v>
      </c>
    </row>
    <row r="656" spans="1:3" x14ac:dyDescent="0.25">
      <c r="A656" s="9" t="s">
        <v>1305</v>
      </c>
      <c r="B656" s="9" t="s">
        <v>126</v>
      </c>
      <c r="C656" s="16">
        <f>[1]!QAA_AGG("1,2,SS6,LA,F=KCA,K=DbC,F=A,K=/LA/Ldg,F=CSA030,T=CSA030,K=/LA/AccCde,F=001/2022,T=012/2022,K=/LA/Prd,F=P,T=PINV,K=/LA/JnlTyp,F=&lt;ALL&gt;,K=/LA/Alc,F=&lt;ALL&gt;,T=&lt;ALL&gt;,K=/LA/JnlSrc,F=SAFETY IRELAND FIRST RESPONSE LTD,T=SAFETY IRELAND FIRST RESPONSE LTD,K=/LA/CA/Nme"&amp;",E=1,O=/LA/BseAmt,XLBVal:6=-129.150",)</f>
        <v>-129.15</v>
      </c>
    </row>
    <row r="657" spans="1:3" x14ac:dyDescent="0.25">
      <c r="A657" s="9" t="s">
        <v>1308</v>
      </c>
      <c r="B657" s="9" t="s">
        <v>1309</v>
      </c>
      <c r="C657" s="16">
        <f>[1]!QAA_AGG("1,2,SS6,LA,F=KCA,K=DbC,F=A,K=/LA/Ldg,F=CBO045,T=CBO045,K=/LA/AccCde,F=001/2022,T=012/2022,K=/LA/Prd,F=P,T=PINV,K=/LA/JnlTyp,F=&lt;ALL&gt;,K=/LA/Alc,F=&lt;ALL&gt;,T=&lt;ALL&gt;,K=/LA/JnlSrc,F=BOWER BARCOE PEST CONTROL &amp; WASHROOM SERVICES,T=BOWER BARCOE PEST CONTROL &amp; WASHRO"&amp;"OM SERVICES,K=/LA/CA/Nme,E=1,O=/LA/BseAmt,XLBVal:6=-127.920",)</f>
        <v>-127.92</v>
      </c>
    </row>
    <row r="658" spans="1:3" x14ac:dyDescent="0.25">
      <c r="A658" s="9" t="s">
        <v>1310</v>
      </c>
      <c r="B658" s="9" t="s">
        <v>1311</v>
      </c>
      <c r="C658" s="16">
        <f>[1]!QAA_AGG("1,2,SS6,LA,F=KCA,K=DbC,F=A,K=/LA/Ldg,F=CJO220,T=CJO220,K=/LA/AccCde,F=001/2022,T=012/2022,K=/LA/Prd,F=P,T=PINV,K=/LA/JnlTyp,F=&lt;ALL&gt;,K=/LA/Alc,F=&lt;ALL&gt;,T=&lt;ALL&gt;,K=/LA/JnlSrc,F=JOHN HEARN HARDWARE LTD,T=JOHN HEARN HARDWARE LTD,K=/LA/CA/Nme,E=1,O=/LA/BseAmt,XL"&amp;"BVal:6=-125.960",)</f>
        <v>-125.96</v>
      </c>
    </row>
    <row r="659" spans="1:3" x14ac:dyDescent="0.25">
      <c r="A659" s="9" t="s">
        <v>1312</v>
      </c>
      <c r="B659" s="9" t="s">
        <v>1313</v>
      </c>
      <c r="C659" s="16">
        <f>[1]!QAA_AGG("1,2,SS6,LA,F=KCA,K=DbC,F=A,K=/LA/Ldg,F=CJA003,T=CJA003,K=/LA/AccCde,F=001/2022,T=012/2022,K=/LA/Prd,F=P,T=PINV,K=/LA/JnlTyp,F=&lt;ALL&gt;,K=/LA/Alc,F=&lt;ALL&gt;,T=&lt;ALL&gt;,K=/LA/JnlSrc,F=Jack Walker (student Refund),T=Jack Walker (student Refund),K=/LA/CA/Nme,E=1,O=/LA"&amp;"/BseAmt,XLBVal:6=-125.000",)</f>
        <v>-125</v>
      </c>
    </row>
    <row r="660" spans="1:3" x14ac:dyDescent="0.25">
      <c r="A660" s="9" t="s">
        <v>1314</v>
      </c>
      <c r="B660" s="9" t="s">
        <v>1315</v>
      </c>
      <c r="C660" s="16">
        <f>[1]!QAA_AGG("1,2,SS6,LA,F=KCA,K=DbC,F=A,K=/LA/Ldg,F=CMA051,T=CMA051,K=/LA/AccCde,F=001/2022,T=012/2022,K=/LA/Prd,F=P,T=PINV,K=/LA/JnlTyp,F=&lt;ALL&gt;,K=/LA/Alc,F=&lt;ALL&gt;,T=&lt;ALL&gt;,K=/LA/JnlSrc,F=MARION HAUGHNEY,T=MARION HAUGHNEY,K=/LA/CA/Nme,E=1,O=/LA/BseAmt,XLBVal:6=-125.000",)</f>
        <v>-125</v>
      </c>
    </row>
    <row r="661" spans="1:3" x14ac:dyDescent="0.25">
      <c r="A661" s="9" t="s">
        <v>1316</v>
      </c>
      <c r="B661" s="9" t="s">
        <v>1317</v>
      </c>
      <c r="C661" s="16">
        <f>[1]!QAA_AGG("1,2,SS6,LA,F=KCA,K=DbC,F=A,K=/LA/Ldg,F=CRA000,T=CRA000,K=/LA/AccCde,F=001/2022,T=012/2022,K=/LA/Prd,F=P,T=PINV,K=/LA/JnlTyp,F=&lt;ALL&gt;,K=/LA/Alc,F=&lt;ALL&gt;,T=&lt;ALL&gt;,K=/LA/JnlSrc,F=RAY WHELAN LTD,T=RAY WHELAN LTD,K=/LA/CA/Nme,E=1,O=/LA/BseAmt,XLBVal:6=-124.850",)</f>
        <v>-124.85</v>
      </c>
    </row>
    <row r="662" spans="1:3" x14ac:dyDescent="0.25">
      <c r="A662" s="9" t="s">
        <v>1318</v>
      </c>
      <c r="B662" s="9" t="s">
        <v>1319</v>
      </c>
      <c r="C662" s="16">
        <f>[1]!QAA_AGG("1,2,SS6,LA,F=KCA,K=DbC,F=A,K=/LA/Ldg,F=CSV002,T=CSV002,K=/LA/AccCde,F=001/2022,T=012/2022,K=/LA/Prd,F=P,T=PINV,K=/LA/JnlTyp,F=&lt;ALL&gt;,K=/LA/Alc,F=&lt;ALL&gt;,T=&lt;ALL&gt;,K=/LA/JnlSrc,F=S-VAX LTD,T=S-VAX LTD,K=/LA/CA/Nme,E=1,O=/LA/BseAmt,XLBVal:6=-123.000",)</f>
        <v>-123</v>
      </c>
    </row>
    <row r="663" spans="1:3" x14ac:dyDescent="0.25">
      <c r="A663" s="9" t="s">
        <v>1320</v>
      </c>
      <c r="B663" s="9" t="s">
        <v>1321</v>
      </c>
      <c r="C663" s="16">
        <f>[1]!QAA_AGG("1,2,SS6,LA,F=KCA,K=DbC,F=A,K=/LA/Ldg,F=CCH001,T=CCH001,K=/LA/AccCde,F=001/2022,T=012/2022,K=/LA/Prd,F=P,T=PINV,K=/LA/JnlTyp,F=&lt;ALL&gt;,K=/LA/Alc,F=&lt;ALL&gt;,T=&lt;ALL&gt;,K=/LA/JnlSrc,F=CHLEO PROFESSIONAL LTD,T=CHLEO PROFESSIONAL LTD,K=/LA/CA/Nme,E=1,O=/LA/BseAmt,XLBV"&amp;"al:6=-121.770",)</f>
        <v>-121.77</v>
      </c>
    </row>
    <row r="664" spans="1:3" x14ac:dyDescent="0.25">
      <c r="A664" s="9" t="s">
        <v>1190</v>
      </c>
      <c r="B664" s="9" t="s">
        <v>1191</v>
      </c>
      <c r="C664" s="16">
        <f>[1]!QAA_AGG("1,2,SS6,LA,F=KCA,K=DbC,F=A,K=/LA/Ldg,F=CHO022,T=CHO022,K=/LA/AccCde,F=001/2022,T=012/2022,K=/LA/Prd,F=P,T=PINV,K=/LA/JnlTyp,F=&lt;ALL&gt;,K=/LA/Alc,F=&lt;ALL&gt;,T=&lt;ALL&gt;,K=/LA/JnlSrc,F=PROTOCOL INTERNET TECHCOLOGY T/A HOSTING IRELAND,T=PROTOCOL INTERNET TECHCOLOGY T/"&amp;"A HOSTING IRELAND,K=/LA/CA/Nme,E=1,O=/LA/BseAmt,XLBVal:6=-121.470",)</f>
        <v>-121.47</v>
      </c>
    </row>
    <row r="665" spans="1:3" x14ac:dyDescent="0.25">
      <c r="A665" s="9" t="s">
        <v>1322</v>
      </c>
      <c r="B665" s="9" t="s">
        <v>1323</v>
      </c>
      <c r="C665" s="16">
        <f>[1]!QAA_AGG("1,2,SS6,LA,F=KCA,K=DbC,F=A,K=/LA/Ldg,F=CSH035,T=CSH035,K=/LA/AccCde,F=001/2022,T=012/2022,K=/LA/Prd,F=P,T=PINV,K=/LA/JnlTyp,F=&lt;ALL&gt;,K=/LA/Alc,F=&lt;ALL&gt;,T=&lt;ALL&gt;,K=/LA/JnlSrc,F=SHERCOM LTD.,T=SHERCOM LTD.,K=/LA/CA/Nme,E=1,O=/LA/BseAmt,XLBVal:6=-119.760",)</f>
        <v>-119.76</v>
      </c>
    </row>
    <row r="666" spans="1:3" x14ac:dyDescent="0.25">
      <c r="A666" s="9" t="s">
        <v>1324</v>
      </c>
      <c r="B666" s="9" t="s">
        <v>1325</v>
      </c>
      <c r="C666" s="16">
        <f>[1]!QAA_AGG("1,2,SS6,LA,F=KCA,K=DbC,F=A,K=/LA/Ldg,F=CAC015,T=CAC015,K=/LA/AccCde,F=001/2022,T=012/2022,K=/LA/Prd,F=P,T=PINV,K=/LA/JnlTyp,F=&lt;ALL&gt;,K=/LA/Alc,F=&lt;ALL&gt;,T=&lt;ALL&gt;,K=/LA/JnlSrc,F=ACCESS PLASTICS LTD,T=ACCESS PLASTICS LTD,K=/LA/CA/Nme,E=1,O=/LA/BseAmt,XLBVal:6=-"&amp;"116.850",)</f>
        <v>-116.85</v>
      </c>
    </row>
    <row r="667" spans="1:3" x14ac:dyDescent="0.25">
      <c r="A667" s="9" t="s">
        <v>1326</v>
      </c>
      <c r="B667" s="9" t="s">
        <v>1327</v>
      </c>
      <c r="C667" s="16">
        <f>[1]!QAA_AGG("1,2,SS6,LA,F=KCA,K=DbC,F=A,K=/LA/Ldg,F=CMM002,T=CMM002,K=/LA/AccCde,F=001/2022,T=012/2022,K=/LA/Prd,F=P,T=PINV,K=/LA/JnlTyp,F=&lt;ALL&gt;,K=/LA/Alc,F=&lt;ALL&gt;,T=&lt;ALL&gt;,K=/LA/JnlSrc,F=MMI GROUP,T=MMI GROUP,K=/LA/CA/Nme,E=1,O=/LA/BseAmt,XLBVal:6=-115.000",)</f>
        <v>-115</v>
      </c>
    </row>
    <row r="668" spans="1:3" x14ac:dyDescent="0.25">
      <c r="A668" s="9" t="s">
        <v>1328</v>
      </c>
      <c r="B668" s="9" t="s">
        <v>1329</v>
      </c>
      <c r="C668" s="16">
        <f>[1]!QAA_AGG("1,2,SS6,LA,F=KCA,K=DbC,F=A,K=/LA/Ldg,F=CBA052,T=CBA052,K=/LA/AccCde,F=001/2022,T=012/2022,K=/LA/Prd,F=P,T=PINV,K=/LA/JnlTyp,F=&lt;ALL&gt;,K=/LA/Alc,F=&lt;ALL&gt;,T=&lt;ALL&gt;,K=/LA/JnlSrc,F=BARROW AUTOMATION LIMITED,T=BARROW AUTOMATION LIMITED,K=/LA/CA/Nme,E=1,O=/LA/BseAm"&amp;"t,XLBVal:6=-114.000",)</f>
        <v>-114</v>
      </c>
    </row>
    <row r="669" spans="1:3" x14ac:dyDescent="0.25">
      <c r="A669" s="9" t="s">
        <v>1330</v>
      </c>
      <c r="B669" s="9" t="s">
        <v>1331</v>
      </c>
      <c r="C669" s="16">
        <f>[1]!QAA_AGG("1,2,SS6,LA,F=KCA,K=DbC,F=A,K=/LA/Ldg,F=CDU018,T=CDU018,K=/LA/AccCde,F=001/2022,T=012/2022,K=/LA/Prd,F=P,T=PINV,K=/LA/JnlTyp,F=&lt;ALL&gt;,K=/LA/Alc,F=&lt;ALL&gt;,T=&lt;ALL&gt;,K=/LA/JnlSrc,F=Dunnes Garden Centre,T=Dunnes Garden Centre,K=/LA/CA/Nme,E=1,O=/LA/BseAmt,XLBVal:6"&amp;"=-111.300",)</f>
        <v>-111.3</v>
      </c>
    </row>
    <row r="670" spans="1:3" x14ac:dyDescent="0.25">
      <c r="A670" s="9" t="s">
        <v>1334</v>
      </c>
      <c r="B670" s="9" t="s">
        <v>1335</v>
      </c>
      <c r="C670" s="16">
        <f>[1]!QAA_AGG("1,2,SS6,LA,F=KCA,K=DbC,F=A,K=/LA/Ldg,F=CCO008,T=CCO008,K=/LA/AccCde,F=001/2022,T=012/2022,K=/LA/Prd,F=P,T=PINV,K=/LA/JnlTyp,F=&lt;ALL&gt;,K=/LA/Alc,F=&lt;ALL&gt;,T=&lt;ALL&gt;,K=/LA/JnlSrc,F=COUGHLAN GARDEN EQUIPMENT (CARLOW),T=COUGHLAN GARDEN EQUIPMENT (CARLOW),K=/LA/CA/N"&amp;"me,E=1,O=/LA/BseAmt,XLBVal:6=-110.000",)</f>
        <v>-110</v>
      </c>
    </row>
    <row r="671" spans="1:3" x14ac:dyDescent="0.25">
      <c r="A671" s="9" t="s">
        <v>1336</v>
      </c>
      <c r="B671" s="9" t="s">
        <v>1337</v>
      </c>
      <c r="C671" s="16">
        <f>[1]!QAA_AGG("1,2,SS6,LA,F=KCA,K=DbC,F=A,K=/LA/Ldg,F=CCA218,T=CCA218,K=/LA/AccCde,F=001/2022,T=012/2022,K=/LA/Prd,F=P,T=PINV,K=/LA/JnlTyp,F=&lt;ALL&gt;,K=/LA/Alc,F=&lt;ALL&gt;,T=&lt;ALL&gt;,K=/LA/JnlSrc,F=CAMPION PICTURE FRAMING,T=CAMPION PICTURE FRAMING,K=/LA/CA/Nme,E=1,O=/LA/BseAmt,XL"&amp;"BVal:6=-110.000",)</f>
        <v>-110</v>
      </c>
    </row>
    <row r="672" spans="1:3" x14ac:dyDescent="0.25">
      <c r="A672" s="9" t="s">
        <v>55</v>
      </c>
      <c r="B672" s="9" t="s">
        <v>1338</v>
      </c>
      <c r="C672" s="16">
        <f>[1]!QAA_AGG("1,2,SS6,LA,F=KCA,K=DbC,F=A,K=/LA/Ldg,F=CBN000,T=CBN000,K=/LA/AccCde,F=001/2022,T=012/2022,K=/LA/Prd,F=P,T=PINV,K=/LA/JnlTyp,F=&lt;ALL&gt;,K=/LA/Alc,F=&lt;ALL&gt;,T=&lt;ALL&gt;,K=/LA/JnlSrc,F=B NOLAN DISTRIBUTION LIMITED,T=B NOLAN DISTRIBUTION LIMITED,K=/LA/CA/Nme,E=1,O=/LA"&amp;"/BseAmt,XLBVal:6=-109.500",)</f>
        <v>-109.5</v>
      </c>
    </row>
    <row r="673" spans="1:3" x14ac:dyDescent="0.25">
      <c r="A673" s="9" t="s">
        <v>1339</v>
      </c>
      <c r="B673" s="9" t="s">
        <v>1340</v>
      </c>
      <c r="C673" s="16">
        <f>[1]!QAA_AGG("1,2,SS6,LA,F=KCA,K=DbC,F=A,K=/LA/Ldg,F=CMI188,T=CMI188,K=/LA/AccCde,F=001/2022,T=012/2022,K=/LA/Prd,F=P,T=PINV,K=/LA/JnlTyp,F=&lt;ALL&gt;,K=/LA/Alc,F=&lt;ALL&gt;,T=&lt;ALL&gt;,K=/LA/JnlSrc,F=MIRIAM O'DONOGHUE EDUCATION SERVICES LTD,T=MIRIAM O'DONOGHUE EDUCATION SERVICES LT"&amp;"D,K=/LA/CA/Nme,E=1,O=/LA/BseAmt,XLBVal:6=-105.000",)</f>
        <v>-105</v>
      </c>
    </row>
    <row r="674" spans="1:3" x14ac:dyDescent="0.25">
      <c r="A674" s="9" t="s">
        <v>1428</v>
      </c>
      <c r="B674" s="9" t="s">
        <v>1429</v>
      </c>
      <c r="C674" s="16">
        <f>[1]!QAA_AGG("1,2,SS6,LA,F=KCA,K=DbC,F=A,K=/LA/Ldg,F=CJO125,T=CJO125,K=/LA/AccCde,F=001/2022,T=012/2022,K=/LA/Prd,F=P,T=PINV,K=/LA/JnlTyp,F=&lt;ALL&gt;,K=/LA/Alc,F=&lt;ALL&gt;,T=&lt;ALL&gt;,K=/LA/JnlSrc,F=JOHN BOWDEN HARDWARE,T=JOHN BOWDEN HARDWARE,K=/LA/CA/Nme,E=1,O=/LA/BseAmt,XLBVal:6"&amp;"=-101.300",)</f>
        <v>-101.3</v>
      </c>
    </row>
    <row r="675" spans="1:3" x14ac:dyDescent="0.25">
      <c r="A675" s="9" t="s">
        <v>1356</v>
      </c>
      <c r="B675" s="9" t="s">
        <v>1357</v>
      </c>
      <c r="C675" s="16">
        <f>[1]!QAA_AGG("1,2,SS6,LA,F=KCA,K=DbC,F=A,K=/LA/Ldg,F=CLE004,T=CLE004,K=/LA/AccCde,F=001/2022,T=012/2022,K=/LA/Prd,F=P,T=PINV,K=/LA/JnlTyp,F=&lt;ALL&gt;,K=/LA/Alc,F=&lt;ALL&gt;,T=&lt;ALL&gt;,K=/LA/JnlSrc,F=Leinster Hockey Association CLG,T=Leinster Hockey Association CLG,K=/LA/CA/Nme,E=1"&amp;",O=/LA/BseAmt,XLBVal:6=-100.000",)</f>
        <v>-100</v>
      </c>
    </row>
    <row r="676" spans="1:3" x14ac:dyDescent="0.25">
      <c r="A676" s="9" t="s">
        <v>1347</v>
      </c>
      <c r="B676" s="9" t="s">
        <v>1348</v>
      </c>
      <c r="C676" s="16">
        <f>[1]!QAA_AGG("1,2,SS6,LA,F=KCA,K=DbC,F=A,K=/LA/Ldg,F=CLI020,T=CLI020,K=/LA/AccCde,F=001/2022,T=012/2022,K=/LA/Prd,F=P,T=PINV,K=/LA/JnlTyp,F=&lt;ALL&gt;,K=/LA/Alc,F=&lt;ALL&gt;,T=&lt;ALL&gt;,K=/LA/JnlSrc,F=Lisa Harding,T=Lisa Harding,K=/LA/CA/Nme,E=1,O=/LA/BseAmt,XLBVal:6=-100.000",)</f>
        <v>-100</v>
      </c>
    </row>
    <row r="677" spans="1:3" x14ac:dyDescent="0.25">
      <c r="A677" s="9" t="s">
        <v>1349</v>
      </c>
      <c r="B677" s="9" t="s">
        <v>1350</v>
      </c>
      <c r="C677" s="16">
        <f>[1]!QAA_AGG("1,2,SS6,LA,F=KCA,K=DbC,F=A,K=/LA/Ldg,F=CMI178,T=CMI178,K=/LA/AccCde,F=001/2022,T=012/2022,K=/LA/Prd,F=P,T=PINV,K=/LA/JnlTyp,F=&lt;ALL&gt;,K=/LA/Alc,F=&lt;ALL&gt;,T=&lt;ALL&gt;,K=/LA/JnlSrc,F=MICHELLE JEFFORD,T=MICHELLE JEFFORD,K=/LA/CA/Nme,E=1,O=/LA/BseAmt,XLBVal:6=-100.00"&amp;"0",)</f>
        <v>-100</v>
      </c>
    </row>
    <row r="678" spans="1:3" x14ac:dyDescent="0.25">
      <c r="A678" s="9" t="s">
        <v>1351</v>
      </c>
      <c r="B678" s="9" t="s">
        <v>46</v>
      </c>
      <c r="C678" s="16">
        <f>[1]!QAA_AGG("1,2,SS6,LA,F=KCA,K=DbC,F=A,K=/LA/Ldg,F=CNA001,T=CNA001,K=/LA/AccCde,F=001/2022,T=012/2022,K=/LA/Prd,F=P,T=PINV,K=/LA/JnlTyp,F=&lt;ALL&gt;,K=/LA/Alc,F=&lt;ALL&gt;,T=&lt;ALL&gt;,K=/LA/JnlSrc,F=NAPD,T=NAPD,K=/LA/CA/Nme,E=1,O=/LA/BseAmt,XLBVal:6=-100.000",)</f>
        <v>-100</v>
      </c>
    </row>
    <row r="679" spans="1:3" x14ac:dyDescent="0.25">
      <c r="A679" s="9" t="s">
        <v>1358</v>
      </c>
      <c r="B679" s="9" t="s">
        <v>1359</v>
      </c>
      <c r="C679" s="16">
        <f>[1]!QAA_AGG("1,2,SS6,LA,F=KCA,K=DbC,F=A,K=/LA/Ldg,F=CCA015,T=CCA015,K=/LA/AccCde,F=001/2022,T=012/2022,K=/LA/Prd,F=P,T=PINV,K=/LA/JnlTyp,F=&lt;ALL&gt;,K=/LA/Alc,F=&lt;ALL&gt;,T=&lt;ALL&gt;,K=/LA/JnlSrc,F=Caoimhe Byrne,T=Caoimhe Byrne,K=/LA/CA/Nme,E=1,O=/LA/BseAmt,XLBVal:6=-100.000",)</f>
        <v>-100</v>
      </c>
    </row>
    <row r="680" spans="1:3" x14ac:dyDescent="0.25">
      <c r="A680" s="9" t="s">
        <v>1360</v>
      </c>
      <c r="B680" s="9" t="s">
        <v>1361</v>
      </c>
      <c r="C680" s="16">
        <f>[1]!QAA_AGG("1,2,SS6,LA,F=KCA,K=DbC,F=A,K=/LA/Ldg,F=CCA008,T=CCA008,K=/LA/AccCde,F=001/2022,T=012/2022,K=/LA/Prd,F=P,T=PINV,K=/LA/JnlTyp,F=&lt;ALL&gt;,K=/LA/Alc,F=&lt;ALL&gt;,T=&lt;ALL&gt;,K=/LA/JnlSrc,F=Cathy Tallon (Refund),T=Cathy Tallon (Refund),K=/LA/CA/Nme,E=1,O=/LA/BseAmt,XLBVal"&amp;":6=-100.000",)</f>
        <v>-100</v>
      </c>
    </row>
    <row r="681" spans="1:3" x14ac:dyDescent="0.25">
      <c r="A681" s="9" t="s">
        <v>1362</v>
      </c>
      <c r="B681" s="9" t="s">
        <v>1363</v>
      </c>
      <c r="C681" s="16">
        <f>[1]!QAA_AGG("1,2,SS6,LA,F=KCA,K=DbC,F=A,K=/LA/Ldg,F=CEN000,T=CEN000,K=/LA/AccCde,F=001/2022,T=012/2022,K=/LA/Prd,F=P,T=PINV,K=/LA/JnlTyp,F=&lt;ALL&gt;,K=/LA/Alc,F=&lt;ALL&gt;,T=&lt;ALL&gt;,K=/LA/JnlSrc,F=EPT LTD,T=EPT LTD,K=/LA/CA/Nme,E=1,O=/LA/BseAmt,XLBVal:6=-100.000",)</f>
        <v>-100</v>
      </c>
    </row>
    <row r="682" spans="1:3" x14ac:dyDescent="0.25">
      <c r="A682" s="9" t="s">
        <v>1352</v>
      </c>
      <c r="B682" s="9" t="s">
        <v>1353</v>
      </c>
      <c r="C682" s="16">
        <f>[1]!QAA_AGG("1,2,SS6,LA,F=KCA,K=DbC,F=A,K=/LA/Ldg,F=CGI010,T=CGI010,K=/LA/AccCde,F=001/2022,T=012/2022,K=/LA/Prd,F=P,T=PINV,K=/LA/JnlTyp,F=&lt;ALL&gt;,K=/LA/Alc,F=&lt;ALL&gt;,T=&lt;ALL&gt;,K=/LA/JnlSrc,F=GIFT VOUCHER SHOP,T=GIFT VOUCHER SHOP,K=/LA/CA/Nme,E=1,O=/LA/BseAmt,XLBVal:6=-100."&amp;"000",)</f>
        <v>-100</v>
      </c>
    </row>
    <row r="683" spans="1:3" x14ac:dyDescent="0.25">
      <c r="A683" s="9" t="s">
        <v>1354</v>
      </c>
      <c r="B683" s="9" t="s">
        <v>1355</v>
      </c>
      <c r="C683" s="16">
        <f>[1]!QAA_AGG("1,2,SS6,LA,F=KCA,K=DbC,F=A,K=/LA/Ldg,F=CGA026,T=CGA026,K=/LA/AccCde,F=001/2022,T=012/2022,K=/LA/Prd,F=P,T=PINV,K=/LA/JnlTyp,F=&lt;ALL&gt;,K=/LA/Alc,F=&lt;ALL&gt;,T=&lt;ALL&gt;,K=/LA/JnlSrc,F=GAELSCOILEANNA,T=GAELSCOILEANNA,K=/LA/CA/Nme,E=1,O=/LA/BseAmt,XLBVal:6=-100.000",)</f>
        <v>-100</v>
      </c>
    </row>
    <row r="684" spans="1:3" x14ac:dyDescent="0.25">
      <c r="A684" s="9" t="s">
        <v>1364</v>
      </c>
      <c r="B684" s="9" t="s">
        <v>1365</v>
      </c>
      <c r="C684" s="16">
        <f>[1]!QAA_AGG("1,2,SS6,LA,F=KCA,K=DbC,F=A,K=/LA/Ldg,F=CCA012,T=CCA012,K=/LA/AccCde,F=001/2022,T=012/2022,K=/LA/Prd,F=P,T=PINV,K=/LA/JnlTyp,F=&lt;ALL&gt;,K=/LA/Alc,F=&lt;ALL&gt;,T=&lt;ALL&gt;,K=/LA/JnlSrc,F=Carlow Express Freight,T=Carlow Express Freight,K=/LA/CA/Nme,E=1,O=/LA/BseAmt,XLBV"&amp;"al:6=-98.400",)</f>
        <v>-98.4</v>
      </c>
    </row>
    <row r="685" spans="1:3" x14ac:dyDescent="0.25">
      <c r="A685" s="9" t="s">
        <v>1366</v>
      </c>
      <c r="B685" s="9" t="s">
        <v>1367</v>
      </c>
      <c r="C685" s="16">
        <f>[1]!QAA_AGG("1,2,SS6,LA,F=KCA,K=DbC,F=A,K=/LA/Ldg,F=CSH125,T=CSH125,K=/LA/AccCde,F=001/2022,T=012/2022,K=/LA/Prd,F=P,T=PINV,K=/LA/JnlTyp,F=&lt;ALL&gt;,K=/LA/Alc,F=&lt;ALL&gt;,T=&lt;ALL&gt;,K=/LA/JnlSrc,F=SHANE FALLON,T=SHANE FALLON,K=/LA/CA/Nme,E=1,O=/LA/BseAmt,XLBVal:6=-98.050",)</f>
        <v>-98.05</v>
      </c>
    </row>
    <row r="686" spans="1:3" x14ac:dyDescent="0.25">
      <c r="A686" s="9" t="s">
        <v>1368</v>
      </c>
      <c r="B686" s="9" t="s">
        <v>1369</v>
      </c>
      <c r="C686" s="16">
        <f>[1]!QAA_AGG("1,2,SS6,LA,F=KCA,K=DbC,F=A,K=/LA/Ldg,F=CST090,T=CST090,K=/LA/AccCde,F=001/2022,T=012/2022,K=/LA/Prd,F=P,T=PINV,K=/LA/JnlTyp,F=&lt;ALL&gt;,K=/LA/Alc,F=&lt;ALL&gt;,T=&lt;ALL&gt;,K=/LA/JnlSrc,F=STANFLEX LTD T/A ORANGE CAFE,T=STANFLEX LTD T/A ORANGE CAFE,K=/LA/CA/Nme,E=1,O=/LA"&amp;"/BseAmt,XLBVal:6=-96.350",)</f>
        <v>-96.35</v>
      </c>
    </row>
    <row r="687" spans="1:3" x14ac:dyDescent="0.25">
      <c r="A687" s="9" t="s">
        <v>1124</v>
      </c>
      <c r="B687" s="9" t="s">
        <v>1125</v>
      </c>
      <c r="C687" s="16">
        <f>[1]!QAA_AGG("1,2,SS6,LA,F=KCA,K=DbC,F=A,K=/LA/Ldg,F=CTH189,T=CTH189,K=/LA/AccCde,F=001/2022,T=012/2022,K=/LA/Prd,F=P,T=PINV,K=/LA/JnlTyp,F=&lt;ALL&gt;,K=/LA/Alc,F=&lt;ALL&gt;,T=&lt;ALL&gt;,K=/LA/JnlSrc,F=THE VILLAGE DAIRY LTD,T=THE VILLAGE DAIRY LTD,K=/LA/CA/Nme,E=1,O=/LA/BseAmt,XLBVal"&amp;":6=-93.720",)</f>
        <v>-93.72</v>
      </c>
    </row>
    <row r="688" spans="1:3" x14ac:dyDescent="0.25">
      <c r="A688" s="9" t="s">
        <v>1372</v>
      </c>
      <c r="B688" s="9" t="s">
        <v>1373</v>
      </c>
      <c r="C688" s="16">
        <f>[1]!QAA_AGG("1,2,SS6,LA,F=KCA,K=DbC,F=A,K=/LA/Ldg,F=CKA057,T=CKA057,K=/LA/AccCde,F=001/2022,T=012/2022,K=/LA/Prd,F=P,T=PINV,K=/LA/JnlTyp,F=&lt;ALL&gt;,K=/LA/Alc,F=&lt;ALL&gt;,T=&lt;ALL&gt;,K=/LA/JnlSrc,F=KABEYUN,T=KABEYUN,K=/LA/CA/Nme,E=1,O=/LA/BseAmt,XLBVal:6=-92.250",)</f>
        <v>-92.25</v>
      </c>
    </row>
    <row r="689" spans="1:3" x14ac:dyDescent="0.25">
      <c r="A689" s="9" t="s">
        <v>1374</v>
      </c>
      <c r="B689" s="9" t="s">
        <v>1375</v>
      </c>
      <c r="C689" s="16">
        <f>[1]!QAA_AGG("1,2,SS6,LA,F=KCA,K=DbC,F=A,K=/LA/Ldg,F=CBL005,T=CBL005,K=/LA/AccCde,F=001/2022,T=012/2022,K=/LA/Prd,F=P,T=PINV,K=/LA/JnlTyp,F=&lt;ALL&gt;,K=/LA/Alc,F=&lt;ALL&gt;,T=&lt;ALL&gt;,K=/LA/JnlSrc,F=BLACKNIGHT INTERNET SOLUTIONS LTD.,T=BLACKNIGHT INTERNET SOLUTIONS LTD.,K=/LA/CA/N"&amp;"me,E=1,O=/LA/BseAmt,XLBVal:6=-92.240",)</f>
        <v>-92.24</v>
      </c>
    </row>
    <row r="690" spans="1:3" x14ac:dyDescent="0.25">
      <c r="A690" s="9" t="s">
        <v>1378</v>
      </c>
      <c r="B690" s="9" t="s">
        <v>1379</v>
      </c>
      <c r="C690" s="16">
        <f>[1]!QAA_AGG("1,2,SS6,LA,F=KCA,K=DbC,F=A,K=/LA/Ldg,F=CMI124,T=CMI124,K=/LA/AccCde,F=001/2022,T=012/2022,K=/LA/Prd,F=P,T=PINV,K=/LA/JnlTyp,F=&lt;ALL&gt;,K=/LA/Alc,F=&lt;ALL&gt;,T=&lt;ALL&gt;,K=/LA/JnlSrc,F=MIDLAND MILK TRADERS,T=MIDLAND MILK TRADERS,K=/LA/CA/Nme,E=1,O=/LA/BseAmt,XLBVal:6"&amp;"=-90.220",)</f>
        <v>-90.22</v>
      </c>
    </row>
    <row r="691" spans="1:3" x14ac:dyDescent="0.25">
      <c r="A691" s="9" t="s">
        <v>1380</v>
      </c>
      <c r="B691" s="9" t="s">
        <v>1381</v>
      </c>
      <c r="C691" s="16">
        <f>[1]!QAA_AGG("1,2,SS6,LA,F=KCA,K=DbC,F=A,K=/LA/Ldg,F=CAR032,T=CAR032,K=/LA/AccCde,F=001/2022,T=012/2022,K=/LA/Prd,F=P,T=PINV,K=/LA/JnlTyp,F=&lt;ALL&gt;,K=/LA/Alc,F=&lt;ALL&gt;,T=&lt;ALL&gt;,K=/LA/JnlSrc,F=ARTHURS COURT LTD UNIFORM WORLD,T=ARTHURS COURT LTD UNIFORM WORLD,K=/LA/CA/Nme,E=1"&amp;",O=/LA/BseAmt,XLBVal:6=-89.000",)</f>
        <v>-89</v>
      </c>
    </row>
    <row r="692" spans="1:3" x14ac:dyDescent="0.25">
      <c r="A692" s="9" t="s">
        <v>1382</v>
      </c>
      <c r="B692" s="9" t="s">
        <v>1383</v>
      </c>
      <c r="C692" s="16">
        <f>[1]!QAA_AGG("1,2,SS6,LA,F=KCA,K=DbC,F=A,K=/LA/Ldg,F=CMC044,T=CMC044,K=/LA/AccCde,F=001/2022,T=012/2022,K=/LA/Prd,F=P,T=PINV,K=/LA/JnlTyp,F=&lt;ALL&gt;,K=/LA/Alc,F=&lt;ALL&gt;,T=&lt;ALL&gt;,K=/LA/JnlSrc,F=MCGAGH TYRES,T=MCGAGH TYRES,K=/LA/CA/Nme,E=1,O=/LA/BseAmt,XLBVal:6=-88.560",)</f>
        <v>-88.56</v>
      </c>
    </row>
    <row r="693" spans="1:3" x14ac:dyDescent="0.25">
      <c r="A693" s="9" t="s">
        <v>1384</v>
      </c>
      <c r="B693" s="9" t="s">
        <v>1385</v>
      </c>
      <c r="C693" s="16">
        <f>[1]!QAA_AGG("1,2,SS6,LA,F=KCA,K=DbC,F=A,K=/LA/Ldg,F=CMI098,T=CMI098,K=/LA/AccCde,F=001/2022,T=012/2022,K=/LA/Prd,F=P,T=PINV,K=/LA/JnlTyp,F=&lt;ALL&gt;,K=/LA/Alc,F=&lt;ALL&gt;,T=&lt;ALL&gt;,K=/LA/JnlSrc,F=MICHAEL CALLANAN  &amp; SONS LTD,T=MICHAEL CALLANAN  &amp; SONS LTD,K=/LA/CA/Nme,E=1,O=/LA"&amp;"/BseAmt,XLBVal:6=-86.100",)</f>
        <v>-86.1</v>
      </c>
    </row>
    <row r="694" spans="1:3" x14ac:dyDescent="0.25">
      <c r="A694" s="9" t="s">
        <v>1386</v>
      </c>
      <c r="B694" s="9" t="s">
        <v>1387</v>
      </c>
      <c r="C694" s="16">
        <f>[1]!QAA_AGG("1,2,SS6,LA,F=KCA,K=DbC,F=A,K=/LA/Ldg,F=CRI014,T=CRI014,K=/LA/AccCde,F=001/2022,T=012/2022,K=/LA/Prd,F=P,T=PINV,K=/LA/JnlTyp,F=&lt;ALL&gt;,K=/LA/Alc,F=&lt;ALL&gt;,T=&lt;ALL&gt;,K=/LA/JnlSrc,F=RICHARD P BRENNAN-THOMASTOWN VET CLINIC,T=RICHARD P BRENNAN-THOMASTOWN VET CLINIC,"&amp;"K=/LA/CA/Nme,E=1,O=/LA/BseAmt,XLBVal:6=-84.430",)</f>
        <v>-84.43</v>
      </c>
    </row>
    <row r="695" spans="1:3" x14ac:dyDescent="0.25">
      <c r="A695" s="9" t="s">
        <v>1388</v>
      </c>
      <c r="B695" s="9" t="s">
        <v>1389</v>
      </c>
      <c r="C695" s="16">
        <f>[1]!QAA_AGG("1,2,SS6,LA,F=KCA,K=DbC,F=A,K=/LA/Ldg,F=CSI035,T=CSI035,K=/LA/AccCde,F=001/2022,T=012/2022,K=/LA/Prd,F=P,T=PINV,K=/LA/JnlTyp,F=&lt;ALL&gt;,K=/LA/Alc,F=&lt;ALL&gt;,T=&lt;ALL&gt;,K=/LA/JnlSrc,F=SIMON TREACY HARDWARE,T=SIMON TREACY HARDWARE,K=/LA/CA/Nme,E=1,O=/LA/BseAmt,XLBVal"&amp;":6=-83.450",)</f>
        <v>-83.45</v>
      </c>
    </row>
    <row r="696" spans="1:3" x14ac:dyDescent="0.25">
      <c r="A696" s="9" t="s">
        <v>1390</v>
      </c>
      <c r="B696" s="9" t="s">
        <v>1391</v>
      </c>
      <c r="C696" s="16">
        <f>[1]!QAA_AGG("1,2,SS6,LA,F=KCA,K=DbC,F=A,K=/LA/Ldg,F=CDG003,T=CDG003,K=/LA/AccCde,F=001/2022,T=012/2022,K=/LA/Prd,F=P,T=PINV,K=/LA/JnlTyp,F=&lt;ALL&gt;,K=/LA/Alc,F=&lt;ALL&gt;,T=&lt;ALL&gt;,K=/LA/JnlSrc,F=DGD SHREDDING,T=DGD SHREDDING,K=/LA/CA/Nme,E=1,O=/LA/BseAmt,XLBVal:6=-81.730",)</f>
        <v>-81.73</v>
      </c>
    </row>
    <row r="697" spans="1:3" x14ac:dyDescent="0.25">
      <c r="A697" s="9" t="s">
        <v>1392</v>
      </c>
      <c r="B697" s="9" t="s">
        <v>1393</v>
      </c>
      <c r="C697" s="16">
        <f>[1]!QAA_AGG("1,2,SS6,LA,F=KCA,K=DbC,F=A,K=/LA/Ldg,F=CPH026,T=CPH026,K=/LA/AccCde,F=001/2022,T=012/2022,K=/LA/Prd,F=P,T=PINV,K=/LA/JnlTyp,F=&lt;ALL&gt;,K=/LA/Alc,F=&lt;ALL&gt;,T=&lt;ALL&gt;,K=/LA/JnlSrc,F=PHILIP BRENNAN,T=PHILIP BRENNAN,K=/LA/CA/Nme,E=1,O=/LA/BseAmt,XLBVal:6=-80.000",)</f>
        <v>-80</v>
      </c>
    </row>
    <row r="698" spans="1:3" x14ac:dyDescent="0.25">
      <c r="A698" s="9" t="s">
        <v>1394</v>
      </c>
      <c r="B698" s="9" t="s">
        <v>1395</v>
      </c>
      <c r="C698" s="16">
        <f>[1]!QAA_AGG("1,2,SS6,LA,F=KCA,K=DbC,F=A,K=/LA/Ldg,F=CIR075,T=CIR075,K=/LA/AccCde,F=001/2022,T=012/2022,K=/LA/Prd,F=P,T=PINV,K=/LA/JnlTyp,F=&lt;ALL&gt;,K=/LA/Alc,F=&lt;ALL&gt;,T=&lt;ALL&gt;,K=/LA/JnlSrc,F=IRISH YOUTH OFFICERS ASSOCIATION,T=IRISH YOUTH OFFICERS ASSOCIATION,K=/LA/CA/Nme,E"&amp;"=1,O=/LA/BseAmt,XLBVal:6=-80.000",)</f>
        <v>-80</v>
      </c>
    </row>
    <row r="699" spans="1:3" x14ac:dyDescent="0.25">
      <c r="A699" s="9" t="s">
        <v>1396</v>
      </c>
      <c r="B699" s="9" t="s">
        <v>1397</v>
      </c>
      <c r="C699" s="16">
        <f>[1]!QAA_AGG("1,2,SS6,LA,F=KCA,K=DbC,F=A,K=/LA/Ldg,F=CWI038,T=CWI038,K=/LA/AccCde,F=001/2022,T=012/2022,K=/LA/Prd,F=P,T=PINV,K=/LA/JnlTyp,F=&lt;ALL&gt;,K=/LA/Alc,F=&lt;ALL&gt;,T=&lt;ALL&gt;,K=/LA/JnlSrc,F=WIT DIVERSE CAMPUS SERVICES T/A SPORTS CAMPUS,T=WIT DIVERSE CAMPUS SERVICES T/A SP"&amp;"ORTS CAMPUS,K=/LA/CA/Nme,E=1,O=/LA/BseAmt,XLBVal:6=-80.000",)</f>
        <v>-80</v>
      </c>
    </row>
    <row r="700" spans="1:3" x14ac:dyDescent="0.25">
      <c r="A700" s="9" t="s">
        <v>1398</v>
      </c>
      <c r="B700" s="9" t="s">
        <v>1399</v>
      </c>
      <c r="C700" s="16">
        <f>[1]!QAA_AGG("1,2,SS6,LA,F=KCA,K=DbC,F=A,K=/LA/Ldg,F=CCU016,T=CCU016,K=/LA/AccCde,F=001/2022,T=012/2022,K=/LA/Prd,F=P,T=PINV,K=/LA/JnlTyp,F=&lt;ALL&gt;,K=/LA/Alc,F=&lt;ALL&gt;,T=&lt;ALL&gt;,K=/LA/JnlSrc,F=CUDDIHY WINDOW &amp; DOORS SERVICES,T=CUDDIHY WINDOW &amp; DOORS SERVICES,K=/LA/CA/Nme,E=1"&amp;",O=/LA/BseAmt,XLBVal:6=-79.450",)</f>
        <v>-79.45</v>
      </c>
    </row>
    <row r="701" spans="1:3" x14ac:dyDescent="0.25">
      <c r="A701" s="9" t="s">
        <v>1400</v>
      </c>
      <c r="B701" s="9" t="s">
        <v>1401</v>
      </c>
      <c r="C701" s="16">
        <f>[1]!QAA_AGG("1,2,SS6,LA,F=KCA,K=DbC,F=A,K=/LA/Ldg,F=CIO001,T=CIO001,K=/LA/AccCde,F=001/2022,T=012/2022,K=/LA/Prd,F=P,T=PINV,K=/LA/JnlTyp,F=&lt;ALL&gt;,K=/LA/Alc,F=&lt;ALL&gt;,T=&lt;ALL&gt;,K=/LA/JnlSrc,F=Ionela Almeida,T=Ionela Almeida,K=/LA/CA/Nme,E=1,O=/LA/BseAmt,XLBVal:6=-75.000",)</f>
        <v>-75</v>
      </c>
    </row>
    <row r="702" spans="1:3" x14ac:dyDescent="0.25">
      <c r="A702" s="9" t="s">
        <v>1402</v>
      </c>
      <c r="B702" s="9" t="s">
        <v>1403</v>
      </c>
      <c r="C702" s="16">
        <f>[1]!QAA_AGG("1,2,SS6,LA,F=KCA,K=DbC,F=A,K=/LA/Ldg,F=CHA004,T=CHA004,K=/LA/AccCde,F=001/2022,T=012/2022,K=/LA/Prd,F=P,T=PINV,K=/LA/JnlTyp,F=&lt;ALL&gt;,K=/LA/Alc,F=&lt;ALL&gt;,T=&lt;ALL&gt;,K=/LA/JnlSrc,F=Habiba Miah,T=Habiba Miah,K=/LA/CA/Nme,E=1,O=/LA/BseAmt,XLBVal:6=-75.000",)</f>
        <v>-75</v>
      </c>
    </row>
    <row r="703" spans="1:3" x14ac:dyDescent="0.25">
      <c r="A703" s="9" t="s">
        <v>1404</v>
      </c>
      <c r="B703" s="9" t="s">
        <v>1405</v>
      </c>
      <c r="C703" s="16">
        <f>[1]!QAA_AGG("1,2,SS6,LA,F=KCA,K=DbC,F=A,K=/LA/Ldg,F=CKA002,T=CKA002,K=/LA/AccCde,F=001/2022,T=012/2022,K=/LA/Prd,F=P,T=PINV,K=/LA/JnlTyp,F=&lt;ALL&gt;,K=/LA/Alc,F=&lt;ALL&gt;,T=&lt;ALL&gt;,K=/LA/JnlSrc,F=Katie Mernagh,T=Katie Mernagh,K=/LA/CA/Nme,E=1,O=/LA/BseAmt,XLBVal:6=-75.000",)</f>
        <v>-75</v>
      </c>
    </row>
    <row r="704" spans="1:3" x14ac:dyDescent="0.25">
      <c r="A704" s="9" t="s">
        <v>1408</v>
      </c>
      <c r="B704" s="9" t="s">
        <v>1409</v>
      </c>
      <c r="C704" s="16">
        <f>[1]!QAA_AGG("1,2,SS6,LA,F=KCA,K=DbC,F=A,K=/LA/Ldg,F=CMA004,T=CMA004,K=/LA/AccCde,F=001/2022,T=012/2022,K=/LA/Prd,F=P,T=PINV,K=/LA/JnlTyp,F=&lt;ALL&gt;,K=/LA/Alc,F=&lt;ALL&gt;,T=&lt;ALL&gt;,K=/LA/JnlSrc,F=Mark Carroll,T=Mark Carroll,K=/LA/CA/Nme,E=1,O=/LA/BseAmt,XLBVal:6=-75.000",)</f>
        <v>-75</v>
      </c>
    </row>
    <row r="705" spans="1:3" x14ac:dyDescent="0.25">
      <c r="A705" s="9" t="s">
        <v>1410</v>
      </c>
      <c r="B705" s="9" t="s">
        <v>1411</v>
      </c>
      <c r="C705" s="16">
        <f>[1]!QAA_AGG("1,2,SS6,LA,F=KCA,K=DbC,F=A,K=/LA/Ldg,F=CRA005,T=CRA005,K=/LA/AccCde,F=001/2022,T=012/2022,K=/LA/Prd,F=P,T=PINV,K=/LA/JnlTyp,F=&lt;ALL&gt;,K=/LA/Alc,F=&lt;ALL&gt;,T=&lt;ALL&gt;,K=/LA/JnlSrc,F=Rachel Farrell,T=Rachel Farrell,K=/LA/CA/Nme,E=1,O=/LA/BseAmt,XLBVal:6=-75.000",)</f>
        <v>-75</v>
      </c>
    </row>
    <row r="706" spans="1:3" x14ac:dyDescent="0.25">
      <c r="A706" s="9" t="s">
        <v>1406</v>
      </c>
      <c r="B706" s="9" t="s">
        <v>1407</v>
      </c>
      <c r="C706" s="16">
        <f>[1]!QAA_AGG("1,2,SS6,LA,F=KCA,K=DbC,F=A,K=/LA/Ldg,F=CMI008,T=CMI008,K=/LA/AccCde,F=001/2022,T=012/2022,K=/LA/Prd,F=P,T=PINV,K=/LA/JnlTyp,F=&lt;ALL&gt;,K=/LA/Alc,F=&lt;ALL&gt;,T=&lt;ALL&gt;,K=/LA/JnlSrc,F=Mia Neville,T=Mia Neville,K=/LA/CA/Nme,E=1,O=/LA/BseAmt,XLBVal:6=-75.000",)</f>
        <v>-75</v>
      </c>
    </row>
    <row r="707" spans="1:3" x14ac:dyDescent="0.25">
      <c r="A707" s="9" t="s">
        <v>1412</v>
      </c>
      <c r="B707" s="9" t="s">
        <v>1413</v>
      </c>
      <c r="C707" s="16">
        <f>[1]!QAA_AGG("1,2,SS6,LA,F=KCA,K=DbC,F=A,K=/LA/Ldg,F=CSH005,T=CSH005,K=/LA/AccCde,F=001/2022,T=012/2022,K=/LA/Prd,F=P,T=PINV,K=/LA/JnlTyp,F=&lt;ALL&gt;,K=/LA/Alc,F=&lt;ALL&gt;,T=&lt;ALL&gt;,K=/LA/JnlSrc,F=Shannon O'Toole,T=Shannon O'Toole,K=/LA/CA/Nme,E=1,O=/LA/BseAmt,XLBVal:6=-75.000",)</f>
        <v>-75</v>
      </c>
    </row>
    <row r="708" spans="1:3" x14ac:dyDescent="0.25">
      <c r="A708" s="9" t="s">
        <v>1262</v>
      </c>
      <c r="B708" s="9" t="s">
        <v>1263</v>
      </c>
      <c r="C708" s="16">
        <f>[1]!QAA_AGG("1,2,SS6,LA,F=KCA,K=DbC,F=A,K=/LA/Ldg,F=CPR047,T=CPR047,K=/LA/AccCde,F=001/2022,T=012/2022,K=/LA/Prd,F=P,T=PINV,K=/LA/JnlTyp,F=&lt;ALL&gt;,K=/LA/Alc,F=&lt;ALL&gt;,T=&lt;ALL&gt;,K=/LA/JnlSrc,F=COLAISTE COIS SIUIRE SCHOOL ACCOUNT,T=COLAISTE COIS SIUIRE SCHOOL ACCOUNT,K=/LA/CA"&amp;"/Nme,E=1,O=/LA/BseAmt,XLBVal:6=-72.000",)</f>
        <v>-72</v>
      </c>
    </row>
    <row r="709" spans="1:3" x14ac:dyDescent="0.25">
      <c r="A709" s="9" t="s">
        <v>1332</v>
      </c>
      <c r="B709" s="9" t="s">
        <v>1333</v>
      </c>
      <c r="C709" s="16">
        <f>[1]!QAA_AGG("1,2,SS6,LA,F=KCA,K=DbC,F=A,K=/LA/Ldg,F=COI000,T=COI000,K=/LA/AccCde,F=001/2022,T=012/2022,K=/LA/Prd,F=P,T=PINV,K=/LA/JnlTyp,F=&lt;ALL&gt;,K=/LA/Alc,F=&lt;ALL&gt;,T=&lt;ALL&gt;,K=/LA/JnlSrc,F=OIL &amp; GAS BOILER SERVICES,T=OIL &amp; GAS BOILER SERVICES,K=/LA/CA/Nme,E=1,O=/LA/BseAm"&amp;"t,XLBVal:6=-70.000",)</f>
        <v>-70</v>
      </c>
    </row>
    <row r="710" spans="1:3" x14ac:dyDescent="0.25">
      <c r="A710" s="9" t="s">
        <v>1414</v>
      </c>
      <c r="B710" s="9" t="s">
        <v>1415</v>
      </c>
      <c r="C710" s="16">
        <f>[1]!QAA_AGG("1,2,SS6,LA,F=KCA,K=DbC,F=A,K=/LA/Ldg,F=CCA299,T=CCA299,K=/LA/AccCde,F=001/2022,T=012/2022,K=/LA/Prd,F=P,T=PINV,K=/LA/JnlTyp,F=&lt;ALL&gt;,K=/LA/Alc,F=&lt;ALL&gt;,T=&lt;ALL&gt;,K=/LA/JnlSrc,F=CARLOW CASH REGISTERS LTD. T/A THE OFFICE CENTRE,T=CARLOW CASH REGISTERS LTD. T/A "&amp;"THE OFFICE CENTRE,K=/LA/CA/Nme,E=1,O=/LA/BseAmt,XLBVal:6=-63.960",)</f>
        <v>-63.96</v>
      </c>
    </row>
    <row r="711" spans="1:3" x14ac:dyDescent="0.25">
      <c r="A711" s="9" t="s">
        <v>1416</v>
      </c>
      <c r="B711" s="9" t="s">
        <v>1417</v>
      </c>
      <c r="C711" s="16">
        <f>[1]!QAA_AGG("1,2,SS6,LA,F=KCA,K=DbC,F=A,K=/LA/Ldg,F=CDE004,T=CDE004,K=/LA/AccCde,F=001/2022,T=012/2022,K=/LA/Prd,F=P,T=PINV,K=/LA/JnlTyp,F=&lt;ALL&gt;,K=/LA/Alc,F=&lt;ALL&gt;,T=&lt;ALL&gt;,K=/LA/JnlSrc,F=DELL COMPUTER (IRELAND),T=DELL COMPUTER (IRELAND),K=/LA/CA/Nme,E=1,O=/LA/BseAmt,XL"&amp;"BVal:6=-61.440",)</f>
        <v>-61.44</v>
      </c>
    </row>
    <row r="712" spans="1:3" x14ac:dyDescent="0.25">
      <c r="A712" s="9" t="s">
        <v>1343</v>
      </c>
      <c r="B712" s="9" t="s">
        <v>1344</v>
      </c>
      <c r="C712" s="16">
        <f>[1]!QAA_AGG("1,2,SS6,LA,F=KCA,K=DbC,F=A,K=/LA/Ldg,F=CSA108,T=CSA108,K=/LA/AccCde,F=001/2022,T=012/2022,K=/LA/Prd,F=P,T=PINV,K=/LA/JnlTyp,F=&lt;ALL&gt;,K=/LA/Alc,F=&lt;ALL&gt;,T=&lt;ALL&gt;,K=/LA/JnlSrc,F=SAFETY SOLUTIONS SKILLNET LTD,T=SAFETY SOLUTIONS SKILLNET LTD,K=/LA/CA/Nme,E=1,O=/"&amp;"LA/BseAmt,XLBVal:6=-60.000",)</f>
        <v>-60</v>
      </c>
    </row>
    <row r="713" spans="1:3" x14ac:dyDescent="0.25">
      <c r="A713" s="9" t="s">
        <v>1418</v>
      </c>
      <c r="B713" s="9" t="s">
        <v>1419</v>
      </c>
      <c r="C713" s="16">
        <f>[1]!QAA_AGG("1,2,SS6,LA,F=KCA,K=DbC,F=A,K=/LA/Ldg,F=CVI001,T=CVI001,K=/LA/AccCde,F=001/2022,T=012/2022,K=/LA/Prd,F=P,T=PINV,K=/LA/JnlTyp,F=&lt;ALL&gt;,K=/LA/Alc,F=&lt;ALL&gt;,T=&lt;ALL&gt;,K=/LA/JnlSrc,F=Vicky's Photography,T=Vicky's Photography,K=/LA/CA/Nme,E=1,O=/LA/BseAmt,XLBVal:6=-"&amp;"60.000",)</f>
        <v>-60</v>
      </c>
    </row>
    <row r="714" spans="1:3" x14ac:dyDescent="0.25">
      <c r="A714" s="9" t="s">
        <v>1370</v>
      </c>
      <c r="B714" s="9" t="s">
        <v>1371</v>
      </c>
      <c r="C714" s="16">
        <f>[1]!QAA_AGG("1,2,SS6,LA,F=KCA,K=DbC,F=A,K=/LA/Ldg,F=CTH089,T=CTH089,K=/LA/AccCde,F=001/2022,T=012/2022,K=/LA/Prd,F=P,T=PINV,K=/LA/JnlTyp,F=&lt;ALL&gt;,K=/LA/Alc,F=&lt;ALL&gt;,T=&lt;ALL&gt;,K=/LA/JnlSrc,F=THE BOOK CENTRE,T=THE BOOK CENTRE,K=/LA/CA/Nme,E=1,O=/LA/BseAmt,XLBVal:6=-55.000",)</f>
        <v>-55</v>
      </c>
    </row>
    <row r="715" spans="1:3" x14ac:dyDescent="0.25">
      <c r="A715" s="9" t="s">
        <v>32</v>
      </c>
      <c r="B715" s="9" t="s">
        <v>1420</v>
      </c>
      <c r="C715" s="16">
        <f>[1]!QAA_AGG("1,2,SS6,LA,F=KCA,K=DbC,F=A,K=/LA/Ldg,F=CMI010,T=CMI010,K=/LA/AccCde,F=001/2022,T=012/2022,K=/LA/Prd,F=P,T=PINV,K=/LA/JnlTyp,F=&lt;ALL&gt;,K=/LA/Alc,F=&lt;ALL&gt;,T=&lt;ALL&gt;,K=/LA/JnlSrc,F=Victoria Murphy (Mia Carlin) Refund,T=Victoria Murphy (Mia Carlin) Refund,K=/LA/CA"&amp;"/Nme,E=1,O=/LA/BseAmt,XLBVal:6=-55.000",)</f>
        <v>-55</v>
      </c>
    </row>
    <row r="716" spans="1:3" x14ac:dyDescent="0.25">
      <c r="A716" s="9" t="s">
        <v>114</v>
      </c>
      <c r="B716" s="9" t="s">
        <v>1421</v>
      </c>
      <c r="C716" s="16">
        <f>[1]!QAA_AGG("1,2,SS6,LA,F=KCA,K=DbC,F=A,K=/LA/Ldg,F=CSW001,T=CSW001,K=/LA/AccCde,F=001/2022,T=012/2022,K=/LA/Prd,F=P,T=PINV,K=/LA/JnlTyp,F=&lt;ALL&gt;,K=/LA/Alc,F=&lt;ALL&gt;,T=&lt;ALL&gt;,K=/LA/JnlSrc,F=SWANS ELECTRICAL,T=SWANS ELECTRICAL,K=/LA/CA/Nme,E=1,O=/LA/BseAmt,XLBVal:6=-53.600"&amp;"",)</f>
        <v>-53.6</v>
      </c>
    </row>
    <row r="717" spans="1:3" x14ac:dyDescent="0.25">
      <c r="A717" s="9" t="s">
        <v>1422</v>
      </c>
      <c r="B717" s="9" t="s">
        <v>1423</v>
      </c>
      <c r="C717" s="16">
        <f>[1]!QAA_AGG("1,2,SS6,LA,F=KCA,K=DbC,F=A,K=/LA/Ldg,F=CKE059,T=CKE059,K=/LA/AccCde,F=001/2022,T=012/2022,K=/LA/Prd,F=P,T=PINV,K=/LA/JnlTyp,F=&lt;ALL&gt;,K=/LA/Alc,F=&lt;ALL&gt;,T=&lt;ALL&gt;,K=/LA/JnlSrc,F=KEN O'SHEA,T=KEN O'SHEA,K=/LA/CA/Nme,E=1,O=/LA/BseAmt,XLBVal:6=-52.150",)</f>
        <v>-52.15</v>
      </c>
    </row>
    <row r="718" spans="1:3" x14ac:dyDescent="0.25">
      <c r="A718" s="9" t="s">
        <v>1424</v>
      </c>
      <c r="B718" s="9" t="s">
        <v>1425</v>
      </c>
      <c r="C718" s="16">
        <f>[1]!QAA_AGG("1,2,SS6,LA,F=KCA,K=DbC,F=A,K=/LA/Ldg,F=CPA202,T=CPA202,K=/LA/AccCde,F=001/2022,T=012/2022,K=/LA/Prd,F=P,T=PINV,K=/LA/JnlTyp,F=&lt;ALL&gt;,K=/LA/Alc,F=&lt;ALL&gt;,T=&lt;ALL&gt;,K=/LA/JnlSrc,F=PAMELAN LANIGAN,T=PAMELAN LANIGAN,K=/LA/CA/Nme,E=1,O=/LA/BseAmt,XLBVal:6=-52.000",)</f>
        <v>-52</v>
      </c>
    </row>
    <row r="719" spans="1:3" x14ac:dyDescent="0.25">
      <c r="A719" s="9" t="s">
        <v>1426</v>
      </c>
      <c r="B719" s="9" t="s">
        <v>1427</v>
      </c>
      <c r="C719" s="16">
        <f>[1]!QAA_AGG("1,2,SS6,LA,F=KCA,K=DbC,F=A,K=/LA/Ldg,F=CSI069,T=CSI069,K=/LA/AccCde,F=001/2022,T=012/2022,K=/LA/Prd,F=P,T=PINV,K=/LA/JnlTyp,F=&lt;ALL&gt;,K=/LA/Alc,F=&lt;ALL&gt;,T=&lt;ALL&gt;,K=/LA/JnlSrc,F=SINEAD BLANCHFIELD,T=SINEAD BLANCHFIELD,K=/LA/CA/Nme,E=1,O=/LA/BseAmt,XLBVal:6=-51"&amp;".630",)</f>
        <v>-51.63</v>
      </c>
    </row>
    <row r="720" spans="1:3" x14ac:dyDescent="0.25">
      <c r="A720" s="9" t="s">
        <v>1448</v>
      </c>
      <c r="B720" s="9" t="s">
        <v>1449</v>
      </c>
      <c r="C720" s="16">
        <f>[1]!QAA_AGG("1,2,SS6,LA,F=KCA,K=DbC,F=A,K=/LA/Ldg,F=CSI030,T=CSI030,K=/LA/AccCde,F=001/2022,T=012/2022,K=/LA/Prd,F=P,T=PINV,K=/LA/JnlTyp,F=&lt;ALL&gt;,K=/LA/Alc,F=&lt;ALL&gt;,T=&lt;ALL&gt;,K=/LA/JnlSrc,F=Siobhan Graham (Ronan Refund),T=Siobhan Graham (Ronan Refund),K=/LA/CA/Nme,E=1,O=/"&amp;"LA/BseAmt,XLBVal:6=-50.000",)</f>
        <v>-50</v>
      </c>
    </row>
    <row r="721" spans="1:3" x14ac:dyDescent="0.25">
      <c r="A721" s="9" t="s">
        <v>1446</v>
      </c>
      <c r="B721" s="9" t="s">
        <v>1447</v>
      </c>
      <c r="C721" s="16">
        <f>[1]!QAA_AGG("1,2,SS6,LA,F=KCA,K=DbC,F=A,K=/LA/Ldg,F=CSH006,T=CSH006,K=/LA/AccCde,F=001/2022,T=012/2022,K=/LA/Prd,F=P,T=PINV,K=/LA/JnlTyp,F=&lt;ALL&gt;,K=/LA/Alc,F=&lt;ALL&gt;,T=&lt;ALL&gt;,K=/LA/JnlSrc,F=Shane Lawlor,T=Shane Lawlor,K=/LA/CA/Nme,E=1,O=/LA/BseAmt,XLBVal:6=-50.000",)</f>
        <v>-50</v>
      </c>
    </row>
    <row r="722" spans="1:3" x14ac:dyDescent="0.25">
      <c r="A722" s="9" t="s">
        <v>1450</v>
      </c>
      <c r="B722" s="9" t="s">
        <v>1451</v>
      </c>
      <c r="C722" s="16">
        <f>[1]!QAA_AGG("1,2,SS6,LA,F=KCA,K=DbC,F=A,K=/LA/Ldg,F=CVI013,T=CVI013,K=/LA/AccCde,F=001/2022,T=012/2022,K=/LA/Prd,F=P,T=PINV,K=/LA/JnlTyp,F=&lt;ALL&gt;,K=/LA/Alc,F=&lt;ALL&gt;,T=&lt;ALL&gt;,K=/LA/JnlSrc,F=VINCENT DOHENY,T=VINCENT DOHENY,K=/LA/CA/Nme,E=1,O=/LA/BseAmt,XLBVal:6=-50.000",)</f>
        <v>-50</v>
      </c>
    </row>
    <row r="723" spans="1:3" x14ac:dyDescent="0.25">
      <c r="A723" s="9" t="s">
        <v>1452</v>
      </c>
      <c r="B723" s="9" t="s">
        <v>1453</v>
      </c>
      <c r="C723" s="16">
        <f>[1]!QAA_AGG("1,2,SS6,LA,F=KCA,K=DbC,F=A,K=/LA/Ldg,F=CWI010,T=CWI010,K=/LA/AccCde,F=001/2022,T=012/2022,K=/LA/Prd,F=P,T=PINV,K=/LA/JnlTyp,F=&lt;ALL&gt;,K=/LA/Alc,F=&lt;ALL&gt;,T=&lt;ALL&gt;,K=/LA/JnlSrc,F=Wing Hung Kwong (Courtney Refund),T=Wing Hung Kwong (Courtney Refund),K=/LA/CA/Nme"&amp;",E=1,O=/LA/BseAmt,XLBVal:6=-50.000",)</f>
        <v>-50</v>
      </c>
    </row>
    <row r="724" spans="1:3" x14ac:dyDescent="0.25">
      <c r="A724" s="9" t="s">
        <v>1430</v>
      </c>
      <c r="B724" s="9" t="s">
        <v>1431</v>
      </c>
      <c r="C724" s="16">
        <f>[1]!QAA_AGG("1,2,SS6,LA,F=KCA,K=DbC,F=A,K=/LA/Ldg,F=CKA006,T=CKA006,K=/LA/AccCde,F=001/2022,T=012/2022,K=/LA/Prd,F=P,T=PINV,K=/LA/JnlTyp,F=&lt;ALL&gt;,K=/LA/Alc,F=&lt;ALL&gt;,T=&lt;ALL&gt;,K=/LA/JnlSrc,F=Kathleen Brennan Refund,T=Kathleen Brennan Refund,K=/LA/CA/Nme,E=1,O=/LA/BseAmt,XL"&amp;"BVal:6=-50.000",)</f>
        <v>-50</v>
      </c>
    </row>
    <row r="725" spans="1:3" x14ac:dyDescent="0.25">
      <c r="A725" s="9" t="s">
        <v>1432</v>
      </c>
      <c r="B725" s="9" t="s">
        <v>1433</v>
      </c>
      <c r="C725" s="16">
        <f>[1]!QAA_AGG("1,2,SS6,LA,F=KCA,K=DbC,F=A,K=/LA/Ldg,F=CGR010,T=CGR010,K=/LA/AccCde,F=001/2022,T=012/2022,K=/LA/Prd,F=P,T=PINV,K=/LA/JnlTyp,F=&lt;ALL&gt;,K=/LA/Alc,F=&lt;ALL&gt;,T=&lt;ALL&gt;,K=/LA/JnlSrc,F=Grzegorz Sykula  (Magdalena Refund),T=Grzegorz Sykula  (Magdalena Refund),K=/LA/CA"&amp;"/Nme,E=1,O=/LA/BseAmt,XLBVal:6=-50.000",)</f>
        <v>-50</v>
      </c>
    </row>
    <row r="726" spans="1:3" x14ac:dyDescent="0.25">
      <c r="A726" s="9" t="s">
        <v>1434</v>
      </c>
      <c r="B726" s="9" t="s">
        <v>1435</v>
      </c>
      <c r="C726" s="16">
        <f>[1]!QAA_AGG("1,2,SS6,LA,F=KCA,K=DbC,F=A,K=/LA/Ldg,F=CGE015,T=CGE015,K=/LA/AccCde,F=001/2022,T=012/2022,K=/LA/Prd,F=P,T=PINV,K=/LA/JnlTyp,F=&lt;ALL&gt;,K=/LA/Alc,F=&lt;ALL&gt;,T=&lt;ALL&gt;,K=/LA/JnlSrc,F=Gemma Kelly (refund),T=Gemma Kelly (refund),K=/LA/CA/Nme,E=1,O=/LA/BseAmt,XLBVal:6"&amp;"=-50.000",)</f>
        <v>-50</v>
      </c>
    </row>
    <row r="727" spans="1:3" x14ac:dyDescent="0.25">
      <c r="A727" s="9" t="s">
        <v>1376</v>
      </c>
      <c r="B727" s="9" t="s">
        <v>1377</v>
      </c>
      <c r="C727" s="16">
        <f>[1]!QAA_AGG("1,2,SS6,LA,F=KCA,K=DbC,F=A,K=/LA/Ldg,F=CIR002,T=CIR002,K=/LA/AccCde,F=001/2022,T=012/2022,K=/LA/Prd,F=P,T=PINV,K=/LA/JnlTyp,F=&lt;ALL&gt;,K=/LA/Alc,F=&lt;ALL&gt;,T=&lt;ALL&gt;,K=/LA/JnlSrc,F=Irish Sport HQ,T=Irish Sport HQ,K=/LA/CA/Nme,E=1,O=/LA/BseAmt,XLBVal:6=-50.000",)</f>
        <v>-50</v>
      </c>
    </row>
    <row r="728" spans="1:3" x14ac:dyDescent="0.25">
      <c r="A728" s="9" t="s">
        <v>1436</v>
      </c>
      <c r="B728" s="9" t="s">
        <v>1437</v>
      </c>
      <c r="C728" s="16">
        <f>[1]!QAA_AGG("1,2,SS6,LA,F=KCA,K=DbC,F=A,K=/LA/Ldg,F=CCO205,T=CCO205,K=/LA/AccCde,F=001/2022,T=012/2022,K=/LA/Prd,F=P,T=PINV,K=/LA/JnlTyp,F=&lt;ALL&gt;,K=/LA/Alc,F=&lt;ALL&gt;,T=&lt;ALL&gt;,K=/LA/JnlSrc,F=COOLANOWLE ORGANICS LTD,T=COOLANOWLE ORGANICS LTD,K=/LA/CA/Nme,E=1,O=/LA/BseAmt,XL"&amp;"BVal:6=-50.000",)</f>
        <v>-50</v>
      </c>
    </row>
    <row r="729" spans="1:3" x14ac:dyDescent="0.25">
      <c r="A729" s="9" t="s">
        <v>1438</v>
      </c>
      <c r="B729" s="9" t="s">
        <v>1439</v>
      </c>
      <c r="C729" s="16">
        <f>[1]!QAA_AGG("1,2,SS6,LA,F=KCA,K=DbC,F=A,K=/LA/Ldg,F=CBR004,T=CBR004,K=/LA/AccCde,F=001/2022,T=012/2022,K=/LA/Prd,F=P,T=PINV,K=/LA/JnlTyp,F=&lt;ALL&gt;,K=/LA/Alc,F=&lt;ALL&gt;,T=&lt;ALL&gt;,K=/LA/JnlSrc,F=Brigid Walsh  (Refund),T=Brigid Walsh  (Refund),K=/LA/CA/Nme,E=1,O=/LA/BseAmt,XLBV"&amp;"al:6=-50.000",)</f>
        <v>-50</v>
      </c>
    </row>
    <row r="730" spans="1:3" x14ac:dyDescent="0.25">
      <c r="A730" s="9" t="s">
        <v>1440</v>
      </c>
      <c r="B730" s="9" t="s">
        <v>1441</v>
      </c>
      <c r="C730" s="16">
        <f>[1]!QAA_AGG("1,2,SS6,LA,F=KCA,K=DbC,F=A,K=/LA/Ldg,F=CCA017,T=CCA017,K=/LA/AccCde,F=001/2022,T=012/2022,K=/LA/Prd,F=P,T=PINV,K=/LA/JnlTyp,F=&lt;ALL&gt;,K=/LA/Alc,F=&lt;ALL&gt;,T=&lt;ALL&gt;,K=/LA/JnlSrc,F=CARLOW FLORIST,T=CARLOW FLORIST,K=/LA/CA/Nme,E=1,O=/LA/BseAmt,XLBVal:6=-50.000",)</f>
        <v>-50</v>
      </c>
    </row>
    <row r="731" spans="1:3" x14ac:dyDescent="0.25">
      <c r="A731" s="9" t="s">
        <v>1442</v>
      </c>
      <c r="B731" s="9" t="s">
        <v>1443</v>
      </c>
      <c r="C731" s="16">
        <f>[1]!QAA_AGG("1,2,SS6,LA,F=KCA,K=DbC,F=A,K=/LA/Ldg,F=CCA153,T=CCA153,K=/LA/AccCde,F=001/2022,T=012/2022,K=/LA/Prd,F=P,T=PINV,K=/LA/JnlTyp,F=&lt;ALL&gt;,K=/LA/Alc,F=&lt;ALL&gt;,T=&lt;ALL&gt;,K=/LA/JnlSrc,F=CARLOW ARTS CENTRE LTD (VISUAL),T=CARLOW ARTS CENTRE LTD (VISUAL),K=/LA/CA/Nme,E=1"&amp;",O=/LA/BseAmt,XLBVal:6=-50.000",)</f>
        <v>-50</v>
      </c>
    </row>
    <row r="732" spans="1:3" x14ac:dyDescent="0.25">
      <c r="A732" s="9" t="s">
        <v>1444</v>
      </c>
      <c r="B732" s="9" t="s">
        <v>1445</v>
      </c>
      <c r="C732" s="16">
        <f>[1]!QAA_AGG("1,2,SS6,LA,F=KCA,K=DbC,F=A,K=/LA/Ldg,F=CAF002,T=CAF002,K=/LA/AccCde,F=001/2022,T=012/2022,K=/LA/Prd,F=P,T=PINV,K=/LA/JnlTyp,F=&lt;ALL&gt;,K=/LA/Alc,F=&lt;ALL&gt;,T=&lt;ALL&gt;,K=/LA/JnlSrc,F=Afolake-Alliu (Nelson-Okeyemi Refund),T=Afolake-Alliu (Nelson-Okeyemi Refund),K=/L"&amp;"A/CA/Nme,E=1,O=/LA/BseAmt,XLBVal:6=-50.000",)</f>
        <v>-50</v>
      </c>
    </row>
    <row r="733" spans="1:3" x14ac:dyDescent="0.25">
      <c r="A733" s="9" t="s">
        <v>1454</v>
      </c>
      <c r="B733" s="9" t="s">
        <v>1455</v>
      </c>
      <c r="C733" s="16">
        <f>[1]!QAA_AGG("1,2,SS6,LA,F=KCA,K=DbC,F=A,K=/LA/Ldg,F=CMA297,T=CMA297,K=/LA/AccCde,F=001/2022,T=012/2022,K=/LA/Prd,F=P,T=PINV,K=/LA/JnlTyp,F=&lt;ALL&gt;,K=/LA/Alc,F=&lt;ALL&gt;,T=&lt;ALL&gt;,K=/LA/JnlSrc,F=M.A. MCCULLAGH LTD,T=M.A. MCCULLAGH LTD,K=/LA/CA/Nme,E=1,O=/LA/BseAmt,XLBVal:6=-47"&amp;".960",)</f>
        <v>-47.96</v>
      </c>
    </row>
    <row r="734" spans="1:3" x14ac:dyDescent="0.25">
      <c r="A734" s="9" t="s">
        <v>1456</v>
      </c>
      <c r="B734" s="9" t="s">
        <v>1457</v>
      </c>
      <c r="C734" s="16">
        <f>[1]!QAA_AGG("1,2,SS6,LA,F=KCA,K=DbC,F=A,K=/LA/Ldg,F=CCO112,T=CCO112,K=/LA/AccCde,F=001/2022,T=012/2022,K=/LA/Prd,F=P,T=PINV,K=/LA/JnlTyp,F=&lt;ALL&gt;,K=/LA/Alc,F=&lt;ALL&gt;,T=&lt;ALL&gt;,K=/LA/JnlSrc,F=CONNS CAMERAS,T=CONNS CAMERAS,K=/LA/CA/Nme,E=1,O=/LA/BseAmt,XLBVal:6=-44.980",)</f>
        <v>-44.98</v>
      </c>
    </row>
    <row r="735" spans="1:3" x14ac:dyDescent="0.25">
      <c r="A735" s="9" t="s">
        <v>1470</v>
      </c>
      <c r="B735" s="9" t="s">
        <v>26</v>
      </c>
      <c r="C735" s="16">
        <f>[1]!QAA_AGG("1,2,SS6,LA,F=KCA,K=DbC,F=A,K=/LA/Ldg,F=CGA006,T=CGA006,K=/LA/AccCde,F=001/2022,T=012/2022,K=/LA/Prd,F=P,T=PINV,K=/LA/JnlTyp,F=&lt;ALL&gt;,K=/LA/Alc,F=&lt;ALL&gt;,T=&lt;ALL&gt;,K=/LA/JnlSrc,F=GAEL LINN,T=GAEL LINN,K=/LA/CA/Nme,E=1,O=/LA/BseAmt,XLBVal:6=-40.000",)</f>
        <v>-40</v>
      </c>
    </row>
    <row r="736" spans="1:3" x14ac:dyDescent="0.25">
      <c r="A736" s="9" t="s">
        <v>1458</v>
      </c>
      <c r="B736" s="9" t="s">
        <v>1459</v>
      </c>
      <c r="C736" s="16">
        <f>[1]!QAA_AGG("1,2,SS6,LA,F=KCA,K=DbC,F=A,K=/LA/Ldg,F=CEL079,T=CEL079,K=/LA/AccCde,F=001/2022,T=012/2022,K=/LA/Prd,F=P,T=PINV,K=/LA/JnlTyp,F=&lt;ALL&gt;,K=/LA/Alc,F=&lt;ALL&gt;,T=&lt;ALL&gt;,K=/LA/JnlSrc,F=ELAINE WARE,T=ELAINE WARE,K=/LA/CA/Nme,E=1,O=/LA/BseAmt,XLBVal:6=-40.000",)</f>
        <v>-40</v>
      </c>
    </row>
    <row r="737" spans="1:3" x14ac:dyDescent="0.25">
      <c r="A737" s="9" t="s">
        <v>1460</v>
      </c>
      <c r="B737" s="9" t="s">
        <v>1461</v>
      </c>
      <c r="C737" s="16">
        <f>[1]!QAA_AGG("1,2,SS6,LA,F=KCA,K=DbC,F=A,K=/LA/Ldg,F=CAI064,T=CAI064,K=/LA/AccCde,F=001/2022,T=012/2022,K=/LA/Prd,F=P,T=PINV,K=/LA/JnlTyp,F=&lt;ALL&gt;,K=/LA/Alc,F=&lt;ALL&gt;,T=&lt;ALL&gt;,K=/LA/JnlSrc,F=AINE KEALY,T=AINE KEALY,K=/LA/CA/Nme,E=1,O=/LA/BseAmt,XLBVal:6=-40.000",)</f>
        <v>-40</v>
      </c>
    </row>
    <row r="738" spans="1:3" x14ac:dyDescent="0.25">
      <c r="A738" s="9" t="s">
        <v>1462</v>
      </c>
      <c r="B738" s="9" t="s">
        <v>1463</v>
      </c>
      <c r="C738" s="16">
        <f>[1]!QAA_AGG("1,2,SS6,LA,F=KCA,K=DbC,F=A,K=/LA/Ldg,F=CAN000,T=CAN000,K=/LA/AccCde,F=001/2022,T=012/2022,K=/LA/Prd,F=P,T=PINV,K=/LA/JnlTyp,F=&lt;ALL&gt;,K=/LA/Alc,F=&lt;ALL&gt;,T=&lt;ALL&gt;,K=/LA/JnlSrc,F=BRIDGET ANNETTE MULHARE,T=BRIDGET ANNETTE MULHARE,K=/LA/CA/Nme,E=1,O=/LA/BseAmt,XL"&amp;"BVal:6=-40.000",)</f>
        <v>-40</v>
      </c>
    </row>
    <row r="739" spans="1:3" x14ac:dyDescent="0.25">
      <c r="A739" s="9" t="s">
        <v>1464</v>
      </c>
      <c r="B739" s="9" t="s">
        <v>1465</v>
      </c>
      <c r="C739" s="16">
        <f>[1]!QAA_AGG("1,2,SS6,LA,F=KCA,K=DbC,F=A,K=/LA/Ldg,F=CCA259,T=CCA259,K=/LA/AccCde,F=001/2022,T=012/2022,K=/LA/Prd,F=P,T=PINV,K=/LA/JnlTyp,F=&lt;ALL&gt;,K=/LA/Alc,F=&lt;ALL&gt;,T=&lt;ALL&gt;,K=/LA/JnlSrc,F=CAROLINE HANAFIN,T=CAROLINE HANAFIN,K=/LA/CA/Nme,E=1,O=/LA/BseAmt,XLBVal:6=-40.000"&amp;"",)</f>
        <v>-40</v>
      </c>
    </row>
    <row r="740" spans="1:3" x14ac:dyDescent="0.25">
      <c r="A740" s="9" t="s">
        <v>1466</v>
      </c>
      <c r="B740" s="9" t="s">
        <v>1467</v>
      </c>
      <c r="C740" s="16">
        <f>[1]!QAA_AGG("1,2,SS6,LA,F=KCA,K=DbC,F=A,K=/LA/Ldg,F=CCA295,T=CCA295,K=/LA/AccCde,F=001/2022,T=012/2022,K=/LA/Prd,F=P,T=PINV,K=/LA/JnlTyp,F=&lt;ALL&gt;,K=/LA/Alc,F=&lt;ALL&gt;,T=&lt;ALL&gt;,K=/LA/JnlSrc,F=CATHERINE KILLEEN,T=CATHERINE KILLEEN,K=/LA/CA/Nme,E=1,O=/LA/BseAmt,XLBVal:6=-40.0"&amp;"00",)</f>
        <v>-40</v>
      </c>
    </row>
    <row r="741" spans="1:3" x14ac:dyDescent="0.25">
      <c r="A741" s="9" t="s">
        <v>1468</v>
      </c>
      <c r="B741" s="9" t="s">
        <v>1469</v>
      </c>
      <c r="C741" s="16">
        <f>[1]!QAA_AGG("1,2,SS6,LA,F=KCA,K=DbC,F=A,K=/LA/Ldg,F=CPA256,T=CPA256,K=/LA/AccCde,F=001/2022,T=012/2022,K=/LA/Prd,F=P,T=PINV,K=/LA/JnlTyp,F=&lt;ALL&gt;,K=/LA/Alc,F=&lt;ALL&gt;,T=&lt;ALL&gt;,K=/LA/JnlSrc,F=PATRICIA NOLAN,T=PATRICIA NOLAN,K=/LA/CA/Nme,E=1,O=/LA/BseAmt,XLBVal:6=-40.000",)</f>
        <v>-40</v>
      </c>
    </row>
    <row r="742" spans="1:3" x14ac:dyDescent="0.25">
      <c r="A742" s="9" t="s">
        <v>1471</v>
      </c>
      <c r="B742" s="9" t="s">
        <v>1472</v>
      </c>
      <c r="C742" s="16">
        <f>[1]!QAA_AGG("1,2,SS6,LA,F=KCA,K=DbC,F=A,K=/LA/Ldg,F=CLA056,T=CLA056,K=/LA/AccCde,F=001/2022,T=012/2022,K=/LA/Prd,F=P,T=PINV,K=/LA/JnlTyp,F=&lt;ALL&gt;,K=/LA/Alc,F=&lt;ALL&gt;,T=&lt;ALL&gt;,K=/LA/JnlSrc,F=LAMBER DE BIE FLOWERS LTD,T=LAMBER DE BIE FLOWERS LTD,K=/LA/CA/Nme,E=1,O=/LA/BseAm"&amp;"t,XLBVal:6=-40.000",)</f>
        <v>-40</v>
      </c>
    </row>
    <row r="743" spans="1:3" x14ac:dyDescent="0.25">
      <c r="A743" s="9" t="s">
        <v>1477</v>
      </c>
      <c r="B743" s="9" t="s">
        <v>1478</v>
      </c>
      <c r="C743" s="16">
        <f>[1]!QAA_AGG("1,2,SS6,LA,F=KCA,K=DbC,F=A,K=/LA/Ldg,F=CTR035,T=CTR035,K=/LA/AccCde,F=001/2022,T=012/2022,K=/LA/Prd,F=P,T=PINV,K=/LA/JnlTyp,F=&lt;ALL&gt;,K=/LA/Alc,F=&lt;ALL&gt;,T=&lt;ALL&gt;,K=/LA/JnlSrc,F=TRIONA DELANEY,T=TRIONA DELANEY,K=/LA/CA/Nme,E=1,O=/LA/BseAmt,XLBVal:6=-40.000",)</f>
        <v>-40</v>
      </c>
    </row>
    <row r="744" spans="1:3" x14ac:dyDescent="0.25">
      <c r="A744" s="9" t="s">
        <v>1473</v>
      </c>
      <c r="B744" s="9" t="s">
        <v>1474</v>
      </c>
      <c r="C744" s="16">
        <f>[1]!QAA_AGG("1,2,SS6,LA,F=KCA,K=DbC,F=A,K=/LA/Ldg,F=CSA115,T=CSA115,K=/LA/AccCde,F=001/2022,T=012/2022,K=/LA/Prd,F=P,T=PINV,K=/LA/JnlTyp,F=&lt;ALL&gt;,K=/LA/Alc,F=&lt;ALL&gt;,T=&lt;ALL&gt;,K=/LA/JnlSrc,F=SANDRA HATTON,T=SANDRA HATTON,K=/LA/CA/Nme,E=1,O=/LA/BseAmt,XLBVal:6=-40.000",)</f>
        <v>-40</v>
      </c>
    </row>
    <row r="745" spans="1:3" x14ac:dyDescent="0.25">
      <c r="A745" s="9" t="s">
        <v>1475</v>
      </c>
      <c r="B745" s="9" t="s">
        <v>1476</v>
      </c>
      <c r="C745" s="16">
        <f>[1]!QAA_AGG("1,2,SS6,LA,F=KCA,K=DbC,F=A,K=/LA/Ldg,F=CRU007,T=CRU007,K=/LA/AccCde,F=001/2022,T=012/2022,K=/LA/Prd,F=P,T=PINV,K=/LA/JnlTyp,F=&lt;ALL&gt;,K=/LA/Alc,F=&lt;ALL&gt;,T=&lt;ALL&gt;,K=/LA/JnlSrc,F=RUTH DORAN,T=RUTH DORAN,K=/LA/CA/Nme,E=1,O=/LA/BseAmt,XLBVal:6=-40.000",)</f>
        <v>-40</v>
      </c>
    </row>
    <row r="746" spans="1:3" x14ac:dyDescent="0.25">
      <c r="A746" s="9" t="s">
        <v>1479</v>
      </c>
      <c r="B746" s="9" t="s">
        <v>1480</v>
      </c>
      <c r="C746" s="16">
        <f>[1]!QAA_AGG("1,2,SS6,LA,F=KCA,K=DbC,F=A,K=/LA/Ldg,F=CTH108,T=CTH108,K=/LA/AccCde,F=001/2022,T=012/2022,K=/LA/Prd,F=P,T=PINV,K=/LA/JnlTyp,F=&lt;ALL&gt;,K=/LA/Alc,F=&lt;ALL&gt;,T=&lt;ALL&gt;,K=/LA/JnlSrc,F=THREADS OF GREEN FABRICS,T=THREADS OF GREEN FABRICS,K=/LA/CA/Nme,E=1,O=/LA/BseAmt,"&amp;"XLBVal:6=-36.900",)</f>
        <v>-36.9</v>
      </c>
    </row>
    <row r="747" spans="1:3" x14ac:dyDescent="0.25">
      <c r="A747" s="9" t="s">
        <v>1481</v>
      </c>
      <c r="B747" s="9" t="s">
        <v>1482</v>
      </c>
      <c r="C747" s="16">
        <f>[1]!QAA_AGG("1,2,SS6,LA,F=KCA,K=DbC,F=A,K=/LA/Ldg,F=CCA245,T=CCA245,K=/LA/AccCde,F=001/2022,T=012/2022,K=/LA/Prd,F=P,T=PINV,K=/LA/JnlTyp,F=&lt;ALL&gt;,K=/LA/Alc,F=&lt;ALL&gt;,T=&lt;ALL&gt;,K=/LA/JnlSrc,F=CAO - CENTRAL APPLICATIONS OFFICE,T=CAO - CENTRAL APPLICATIONS OFFICE,K=/LA/CA/Nme"&amp;",E=1,O=/LA/BseAmt,XLBVal:6=-35.000",)</f>
        <v>-35</v>
      </c>
    </row>
    <row r="748" spans="1:3" x14ac:dyDescent="0.25">
      <c r="A748" s="9" t="s">
        <v>1483</v>
      </c>
      <c r="B748" s="9" t="s">
        <v>1484</v>
      </c>
      <c r="C748" s="16">
        <f>[1]!QAA_AGG("1,2,SS6,LA,F=KCA,K=DbC,F=A,K=/LA/Ldg,F=CFI014,T=CFI014,K=/LA/AccCde,F=001/2022,T=012/2022,K=/LA/Prd,F=P,T=PINV,K=/LA/JnlTyp,F=&lt;ALL&gt;,K=/LA/Alc,F=&lt;ALL&gt;,T=&lt;ALL&gt;,K=/LA/JnlSrc,F=Fiona Coughlan (student refund),T=Fiona Coughlan (student refund),K=/LA/CA/Nme,E=1"&amp;",O=/LA/BseAmt,XLBVal:6=-32.000",)</f>
        <v>-32</v>
      </c>
    </row>
    <row r="749" spans="1:3" x14ac:dyDescent="0.25">
      <c r="A749" s="9" t="s">
        <v>1485</v>
      </c>
      <c r="B749" s="9" t="s">
        <v>1486</v>
      </c>
      <c r="C749" s="16">
        <f>[1]!QAA_AGG("1,2,SS6,LA,F=KCA,K=DbC,F=A,K=/LA/Ldg,F=CFR030,T=CFR030,K=/LA/AccCde,F=001/2022,T=012/2022,K=/LA/Prd,F=P,T=PINV,K=/LA/JnlTyp,F=&lt;ALL&gt;,K=/LA/Alc,F=&lt;ALL&gt;,T=&lt;ALL&gt;,K=/LA/JnlSrc,F=FRANCIS J DOHERTY LTD,T=FRANCIS J DOHERTY LTD,K=/LA/CA/Nme,E=1,O=/LA/BseAmt,XLBVal"&amp;":6=-31.010",)</f>
        <v>-31.01</v>
      </c>
    </row>
    <row r="750" spans="1:3" x14ac:dyDescent="0.25">
      <c r="A750" s="9" t="s">
        <v>1487</v>
      </c>
      <c r="B750" s="9" t="s">
        <v>1488</v>
      </c>
      <c r="C750" s="16">
        <f>[1]!QAA_AGG("1,2,SS6,LA,F=KCA,K=DbC,F=A,K=/LA/Ldg,F=CTH010,T=CTH010,K=/LA/AccCde,F=001/2022,T=012/2022,K=/LA/Prd,F=P,T=PINV,K=/LA/JnlTyp,F=&lt;ALL&gt;,K=/LA/Alc,F=&lt;ALL&gt;,T=&lt;ALL&gt;,K=/LA/JnlSrc,F=Thomas Jones t/a Redbridge AutoStop,T=Thomas Jones t/a Redbridge AutoStop,K=/LA/CA"&amp;"/Nme,E=1,O=/LA/BseAmt,XLBVal:6=-26.000",)</f>
        <v>-26</v>
      </c>
    </row>
    <row r="751" spans="1:3" x14ac:dyDescent="0.25">
      <c r="A751" s="9" t="s">
        <v>1489</v>
      </c>
      <c r="B751" s="9" t="s">
        <v>1490</v>
      </c>
      <c r="C751" s="16">
        <f>[1]!QAA_AGG("1,2,SS6,LA,F=KCA,K=DbC,F=A,K=/LA/Ldg,F=CJO232,T=CJO232,K=/LA/AccCde,F=001/2022,T=012/2022,K=/LA/Prd,F=P,T=PINV,K=/LA/JnlTyp,F=&lt;ALL&gt;,K=/LA/Alc,F=&lt;ALL&gt;,T=&lt;ALL&gt;,K=/LA/JnlSrc,F=JOHN PHELAN &amp; CO LTD T/A CLEARYS HARDWAR,T=JOHN PHELAN &amp; CO LTD T/A CLEARYS HARDWA"&amp;"R,K=/LA/CA/Nme,E=1,O=/LA/BseAmt,XLBVal:6=-25.900",)</f>
        <v>-25.9</v>
      </c>
    </row>
    <row r="752" spans="1:3" x14ac:dyDescent="0.25">
      <c r="A752" s="9" t="s">
        <v>105</v>
      </c>
      <c r="B752" s="9" t="s">
        <v>1491</v>
      </c>
      <c r="C752" s="16">
        <f>[1]!QAA_AGG("1,2,SS6,LA,F=KCA,K=DbC,F=A,K=/LA/Ldg,F=CMU046,T=CMU046,K=/LA/AccCde,F=001/2022,T=012/2022,K=/LA/Prd,F=P,T=PINV,K=/LA/JnlTyp,F=&lt;ALL&gt;,K=/LA/Alc,F=&lt;ALL&gt;,T=&lt;ALL&gt;,K=/LA/JnlSrc,F=MUSE COFFEE AND FOOD,T=MUSE COFFEE AND FOOD,K=/LA/CA/Nme,E=1,O=/LA/BseAmt,XLBVal:6"&amp;"=-21.600",)</f>
        <v>-21.6</v>
      </c>
    </row>
    <row r="753" spans="1:3" x14ac:dyDescent="0.25">
      <c r="A753" s="9" t="s">
        <v>1492</v>
      </c>
      <c r="B753" s="9" t="s">
        <v>1493</v>
      </c>
      <c r="C753" s="16">
        <f>[1]!QAA_AGG("1,2,SS6,LA,F=KCA,K=DbC,F=A,K=/LA/Ldg,F=CMC035,T=CMC035,K=/LA/AccCde,F=001/2022,T=012/2022,K=/LA/Prd,F=P,T=PINV,K=/LA/JnlTyp,F=&lt;ALL&gt;,K=/LA/Alc,F=&lt;ALL&gt;,T=&lt;ALL&gt;,K=/LA/JnlSrc,F=MC CULLAGHS SERVICE STATION LTD,T=MC CULLAGHS SERVICE STATION LTD,K=/LA/CA/Nme,E=1"&amp;",O=/LA/BseAmt,XLBVal:6=-21.080",)</f>
        <v>-21.08</v>
      </c>
    </row>
    <row r="754" spans="1:3" x14ac:dyDescent="0.25">
      <c r="A754" s="9" t="s">
        <v>1494</v>
      </c>
      <c r="B754" s="9" t="s">
        <v>1495</v>
      </c>
      <c r="C754" s="16">
        <f>[1]!QAA_AGG("1,2,SS6,LA,F=KCA,K=DbC,F=A,K=/LA/Ldg,F=CLE039,T=CLE039,K=/LA/AccCde,F=001/2022,T=012/2022,K=/LA/Prd,F=P,T=PINV,K=/LA/JnlTyp,F=&lt;ALL&gt;,K=/LA/Alc,F=&lt;ALL&gt;,T=&lt;ALL&gt;,K=/LA/JnlSrc,F=LETS HOST,T=LETS HOST,K=/LA/CA/Nme,E=1,O=/LA/BseAmt,XLBVal:6=-20.900",)</f>
        <v>-20.9</v>
      </c>
    </row>
    <row r="755" spans="1:3" x14ac:dyDescent="0.25">
      <c r="A755" s="9" t="s">
        <v>1496</v>
      </c>
      <c r="B755" s="9" t="s">
        <v>1497</v>
      </c>
      <c r="C755" s="16">
        <f>[1]!QAA_AGG("1,2,SS6,LA,F=KCA,K=DbC,F=A,K=/LA/Ldg,F=CTH218,T=CTH218,K=/LA/AccCde,F=001/2022,T=012/2022,K=/LA/Prd,F=P,T=PINV,K=/LA/JnlTyp,F=&lt;ALL&gt;,K=/LA/Alc,F=&lt;ALL&gt;,T=&lt;ALL&gt;,K=/LA/JnlSrc,F=THE KEY COBBLER T/A MURPHS,T=THE KEY COBBLER T/A MURPHS,K=/LA/CA/Nme,E=1,O=/LA/Bse"&amp;"Amt,XLBVal:6=-20.000",)</f>
        <v>-20</v>
      </c>
    </row>
    <row r="756" spans="1:3" x14ac:dyDescent="0.25">
      <c r="A756" s="9" t="s">
        <v>1498</v>
      </c>
      <c r="B756" s="9" t="s">
        <v>1499</v>
      </c>
      <c r="C756" s="16">
        <f>[1]!QAA_AGG("1,2,SS6,LA,F=KCA,K=DbC,F=A,K=/LA/Ldg,F=CKE000,T=CKE000,K=/LA/AccCde,F=001/2022,T=012/2022,K=/LA/Prd,F=P,T=PINV,K=/LA/JnlTyp,F=&lt;ALL&gt;,K=/LA/Alc,F=&lt;ALL&gt;,T=&lt;ALL&gt;,K=/LA/JnlSrc,F=KELLYS STEELWORKS,T=KELLYS STEELWORKS,K=/LA/CA/Nme,E=1,O=/LA/BseAmt,XLBVal:6=-17.6"&amp;"20",)</f>
        <v>-17.62</v>
      </c>
    </row>
    <row r="757" spans="1:3" x14ac:dyDescent="0.25">
      <c r="A757" s="9" t="s">
        <v>102</v>
      </c>
      <c r="B757" s="9" t="s">
        <v>1500</v>
      </c>
      <c r="C757" s="16">
        <f>[1]!QAA_AGG("1,2,SS6,LA,F=KCA,K=DbC,F=A,K=/LA/Ldg,F=CRM000,T=CRM000,K=/LA/AccCde,F=001/2022,T=012/2022,K=/LA/Prd,F=P,T=PINV,K=/LA/JnlTyp,F=&lt;ALL&gt;,K=/LA/Alc,F=&lt;ALL&gt;,T=&lt;ALL&gt;,K=/LA/JnlSrc,F=RMC NOSTALGIA LIMITED,T=RMC NOSTALGIA LIMITED,K=/LA/CA/Nme,E=1,O=/LA/BseAmt,XLBVal"&amp;":6=-17.600",)</f>
        <v>-17.600000000000001</v>
      </c>
    </row>
    <row r="758" spans="1:3" x14ac:dyDescent="0.25">
      <c r="A758" s="9" t="s">
        <v>1501</v>
      </c>
      <c r="B758" s="9" t="s">
        <v>1502</v>
      </c>
      <c r="C758" s="16">
        <f>[1]!QAA_AGG("1,2,SS6,LA,F=KCA,K=DbC,F=A,K=/LA/Ldg,F=CLO009,T=CLO009,K=/LA/AccCde,F=001/2022,T=012/2022,K=/LA/Prd,F=P,T=PINV,K=/LA/JnlTyp,F=&lt;ALL&gt;,K=/LA/Alc,F=&lt;ALL&gt;,T=&lt;ALL&gt;,K=/LA/JnlSrc,F=LONDIS,T=LONDIS,K=/LA/CA/Nme,E=1,O=/LA/BseAmt,XLBVal:6=-15.340",)</f>
        <v>-15.34</v>
      </c>
    </row>
    <row r="759" spans="1:3" x14ac:dyDescent="0.25">
      <c r="A759" s="9" t="s">
        <v>1503</v>
      </c>
      <c r="B759" s="9" t="s">
        <v>1504</v>
      </c>
      <c r="C759" s="16">
        <f>[1]!QAA_AGG("1,2,SS6,LA,F=KCA,K=DbC,F=A,K=/LA/Ldg,F=CCA192,T=CCA192,K=/LA/AccCde,F=001/2022,T=012/2022,K=/LA/Prd,F=P,T=PINV,K=/LA/JnlTyp,F=&lt;ALL&gt;,K=/LA/Alc,F=&lt;ALL&gt;,T=&lt;ALL&gt;,K=/LA/JnlSrc,F=CARROLLS - CENTRA,T=CARROLLS - CENTRA,K=/LA/CA/Nme,E=1,O=/LA/BseAmt,XLBVal:6=-14.6"&amp;"00",)</f>
        <v>-14.6</v>
      </c>
    </row>
    <row r="760" spans="1:3" x14ac:dyDescent="0.25">
      <c r="A760" s="9" t="s">
        <v>1505</v>
      </c>
      <c r="B760" s="9" t="s">
        <v>1506</v>
      </c>
      <c r="C760" s="16">
        <f>[1]!QAA_AGG("1,2,SS6,LA,F=KCA,K=DbC,F=A,K=/LA/Ldg,F=CAL039,T=CAL039,K=/LA/AccCde,F=001/2022,T=012/2022,K=/LA/Prd,F=P,T=PINV,K=/LA/JnlTyp,F=&lt;ALL&gt;,K=/LA/Alc,F=&lt;ALL&gt;,T=&lt;ALL&gt;,K=/LA/JnlSrc,F=ALL WATER SYSTEMS LTD T/A WATERLOGIC,T=ALL WATER SYSTEMS LTD T/A WATERLOGIC,K=/LA/"&amp;"CA/Nme,E=1,O=/LA/BseAmt,XLBVal:6=-4.300",)</f>
        <v>-4.3</v>
      </c>
    </row>
    <row r="761" spans="1:3" ht="15.75" thickBot="1" x14ac:dyDescent="0.3">
      <c r="A761" s="25" t="s">
        <v>17</v>
      </c>
      <c r="B761" s="25" t="s">
        <v>127</v>
      </c>
      <c r="C761" s="17">
        <f ca="1">SUBTOTAL(9,$C$12:INDIRECT("r[-1]c",FALSE))</f>
        <v>-3487004.2600000021</v>
      </c>
    </row>
  </sheetData>
  <dataValidations count="1">
    <dataValidation type="textLength" errorStyle="information" allowBlank="1" showInputMessage="1" showErrorMessage="1" error="XLBVal:8=Account Code_x000d__x000a_XLBRowCount:8=751_x000d__x000a_XLBColCount:8=3_x000d__x000a_" sqref="A11" xr:uid="{A57B1F23-C539-4839-BF75-46908243B44C}">
      <formula1>0</formula1>
      <formula2>300</formula2>
    </dataValidation>
  </dataValidations>
  <pageMargins left="0.7" right="0.7" top="0.75" bottom="0.75" header="0.3" footer="0.3"/>
  <customProperties>
    <customPr name="QAA_DRILLPATH_NODE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567C4-7FCC-4545-A902-F5E889688186}">
  <sheetPr codeName="Sheet3"/>
  <dimension ref="A1:E7"/>
  <sheetViews>
    <sheetView workbookViewId="0"/>
  </sheetViews>
  <sheetFormatPr defaultRowHeight="15" x14ac:dyDescent="0.25"/>
  <cols>
    <col min="1" max="1" width="12.5703125" bestFit="1" customWidth="1"/>
    <col min="2" max="2" width="10.42578125" bestFit="1" customWidth="1"/>
    <col min="3" max="3" width="7.85546875" bestFit="1" customWidth="1"/>
    <col min="4" max="4" width="8.42578125" bestFit="1" customWidth="1"/>
    <col min="5" max="5" width="7.42578125" bestFit="1" customWidth="1"/>
  </cols>
  <sheetData>
    <row r="1" spans="1:5" ht="15.75" x14ac:dyDescent="0.25">
      <c r="A1" s="23" t="s">
        <v>7</v>
      </c>
      <c r="B1" s="23" t="s">
        <v>8</v>
      </c>
      <c r="C1" s="24" t="s">
        <v>9</v>
      </c>
      <c r="D1" s="24" t="s">
        <v>10</v>
      </c>
      <c r="E1" s="24" t="s">
        <v>11</v>
      </c>
    </row>
    <row r="2" spans="1:5" x14ac:dyDescent="0.25">
      <c r="A2" s="9" t="s">
        <v>12</v>
      </c>
      <c r="B2" s="26">
        <v>38331</v>
      </c>
      <c r="C2" s="10">
        <v>1234</v>
      </c>
      <c r="D2" s="12">
        <v>1618</v>
      </c>
      <c r="E2" s="14">
        <v>0.24</v>
      </c>
    </row>
    <row r="3" spans="1:5" x14ac:dyDescent="0.25">
      <c r="A3" s="9" t="s">
        <v>13</v>
      </c>
      <c r="B3" s="26">
        <v>38371</v>
      </c>
      <c r="C3" s="10">
        <v>-2500.1</v>
      </c>
      <c r="D3" s="12">
        <v>-3141.59</v>
      </c>
      <c r="E3" s="14">
        <v>-0.31</v>
      </c>
    </row>
    <row r="4" spans="1:5" x14ac:dyDescent="0.25">
      <c r="A4" s="9" t="s">
        <v>14</v>
      </c>
      <c r="B4" s="26">
        <v>38321</v>
      </c>
      <c r="C4" s="10">
        <v>0.5</v>
      </c>
      <c r="D4" s="12">
        <v>1414.21</v>
      </c>
      <c r="E4" s="14">
        <v>0.13</v>
      </c>
    </row>
    <row r="5" spans="1:5" x14ac:dyDescent="0.25">
      <c r="A5" s="9" t="s">
        <v>15</v>
      </c>
      <c r="B5" s="26">
        <v>38466</v>
      </c>
      <c r="C5" s="10">
        <v>99.4</v>
      </c>
      <c r="D5" s="12">
        <v>2718.28</v>
      </c>
      <c r="E5" s="14">
        <v>0.13</v>
      </c>
    </row>
    <row r="6" spans="1:5" x14ac:dyDescent="0.25">
      <c r="A6" s="9" t="s">
        <v>16</v>
      </c>
      <c r="B6" s="26">
        <v>38471</v>
      </c>
      <c r="C6" s="10">
        <v>5.4</v>
      </c>
      <c r="D6" s="12">
        <v>1202.05</v>
      </c>
      <c r="E6" s="14">
        <v>0.82</v>
      </c>
    </row>
    <row r="7" spans="1:5" ht="15.75" thickBot="1" x14ac:dyDescent="0.3">
      <c r="A7" s="25" t="s">
        <v>17</v>
      </c>
      <c r="B7" s="27"/>
      <c r="C7" s="11">
        <f>SUM(C2:C6)</f>
        <v>-1160.7999999999997</v>
      </c>
      <c r="D7" s="13">
        <f>SUM(D2:D6)</f>
        <v>3810.95</v>
      </c>
      <c r="E7" s="15">
        <f>SUM(E2:E6)</f>
        <v>1.01</v>
      </c>
    </row>
  </sheetData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rkbookDrillPathInfo xmlns:xsd="http://www.w3.org/2001/XMLSchema" xmlns:xsi="http://www.w3.org/2001/XMLSchema-instance" xmlns="http://www.infor.com/qaa/DrillPath">
  <CurrentDrillPath>
    <DrillPathNode AnalysisType="NONE" Id="3415eacb-97a9-4b7d-b086-f9fc5ebacf96" Name="TOTAL PAYMENTS" HandleSummaryReportOnly="false">
      <SuppressZero>false</SuppressZero>
      <Children/>
    </DrillPathNode>
    <DrillPathNode AnalysisType="NONE" Id="7364d826-4e2d-4c20-b47b-91e67623db74" Name="TOTAL INVOICES" HandleSummaryReportOnly="false" Source="">
      <SuppressZero>false</SuppressZero>
      <Children/>
    </DrillPathNode>
  </CurrentDrillPath>
  <SavedDrillPath/>
</WorkbookDrillPathInfo>
</file>

<file path=customXml/item2.xml><?xml version="1.0" encoding="utf-8"?>
<DrillProfileScenerios xmlns:xsd="http://www.w3.org/2001/XMLSchema" xmlns:xsi="http://www.w3.org/2001/XMLSchema-instance" xmlns="http://www.infor.com/qaa/DrillProfileScenerio">
  <DrillProfileScenerio AnalysisType="TRANSACTION_DRILLDOWN" Product="SS6" Table="LA" HandleSummaryReportOnly="false">
    <DrillProfile name="Transaction Reference/Description/Allocation Marker">
      <SourceFormula>=QAA_AGG("1,2,SS6,LA,F=GAL,K=DbC,F=A,K=/LA/Ldg,F=CMU054,T=CMU054,K=/LA/AccCde,F=001/2021,T=012/2021,K=/LA/Prd,F=P,T=PINV,K=/LA/JnlTyp,F=P,K=/LA/Alc,F=!,K=/LA/Alc,F=&lt;ALL&gt;,T=&lt;ALL&gt;,K=/LA/JnlSrc,F=MURPHY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SOLICITORS,K=/LA/CA"&amp;"/Nme,E=1,O=/LA/BseAmt,XLBVal:6=-455000.000",)</SourceFormula>
      <AnalysisFormula>=QAA_DR("1,2,SS6,LA,F=GAL,K=DbC,F=A,K=/LA/Ldg,F=CMU054,T=CMU054,K=/LA/AccCde,F=001/2021,T=012/2021,K=/LA/Prd,F=P,T=PINV,K=/LA/JnlTyp,F=P,K=/LA/Alc,F=!,K=/LA/Alc,F=&lt;ALL&gt;,T=&lt;ALL&gt;,K=/LA/JnlSrc,F=MURPHY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SOLICITORS,K=/LA/CA"&amp;"/Nme,E=0,O=/LA/TrnRef,E=0,O=/LA/Desc,E=20,O=/LA/Alc,E=0,O=/LA/BseAmt,,TP=",)</AnalysisFormula>
      <SuppressZero>false</SuppressZero>
    </DrillProfile>
    <DrillProfile name="Transaction Date/Journal Type/Transaction Reference/D...rker">
      <SourceFormula>=QAA_AGG("1,2,SS6,LA,F=GAL,K=DbC,F=A,K=/LA/Ldg,F=CMU054,T=CMU054,K=/LA/AccCde,F=001/2021,T=012/2021,K=/LA/Prd,F=P,T=PINV,K=/LA/JnlTyp,F=P,K=/LA/Alc,F=!,K=/LA/Alc,F=&lt;ALL&gt;,T=&lt;ALL&gt;,K=/LA/JnlSrc,F=MURPHY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SOLICITORS,K=/LA/CA"&amp;"/Nme,E=1,O=/LA/BseAmt,XLBVal:6=-455000.000",)</SourceFormula>
      <AnalysisFormula>=QAA_DR("1,2,SS6,LA,F=GAL,K=DbC,F=A,K=/LA/Ldg,F=CMU054,T=CMU054,K=/LA/AccCde,F=001/2021,T=012/2021,K=/LA/Prd,F=P,T=PINV,K=/LA/JnlTyp,F=P,K=/LA/Alc,F=!,K=/LA/Alc,F=&lt;ALL&gt;,T=&lt;ALL&gt;,K=/LA/JnlSrc,F=MURPHY RAMSEY WALSH SOLICITORS,T=MURPHY RAMSEY WALSH SOLICITORS,K=/LA/CA"&amp;"/Nme,E=0,O=/LA/TrnDte,E=0,O=/LA/JnlTyp,E=0,O=/LA/TrnRef,E=0,O=/LA/Desc,E=20,O=/LA/Alc,E=0,O=/LA/BseAmt,,TP=",)</AnalysisFormula>
      <SuppressZero>false</SuppressZero>
    </DrillProfile>
  </DrillProfileScenerio>
</DrillProfileScenerios>
</file>

<file path=customXml/itemProps1.xml><?xml version="1.0" encoding="utf-8"?>
<ds:datastoreItem xmlns:ds="http://schemas.openxmlformats.org/officeDocument/2006/customXml" ds:itemID="{8064FAE7-ED0D-4E51-8875-E149081D9956}">
  <ds:schemaRefs>
    <ds:schemaRef ds:uri="http://www.w3.org/2001/XMLSchema"/>
    <ds:schemaRef ds:uri="http://www.infor.com/qaa/DrillPath"/>
  </ds:schemaRefs>
</ds:datastoreItem>
</file>

<file path=customXml/itemProps2.xml><?xml version="1.0" encoding="utf-8"?>
<ds:datastoreItem xmlns:ds="http://schemas.openxmlformats.org/officeDocument/2006/customXml" ds:itemID="{CBB05E30-9600-4F4E-ABA3-053D6EE59873}">
  <ds:schemaRefs>
    <ds:schemaRef ds:uri="http://www.w3.org/2001/XMLSchema"/>
    <ds:schemaRef ds:uri="http://www.infor.com/qaa/DrillProfileScenerio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Accounts Payable</vt:lpstr>
      <vt:lpstr>TOTAL INVOICES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coreadmin4</dc:creator>
  <cp:lastModifiedBy>Colette Duggan</cp:lastModifiedBy>
  <dcterms:created xsi:type="dcterms:W3CDTF">2021-12-06T14:07:59Z</dcterms:created>
  <dcterms:modified xsi:type="dcterms:W3CDTF">2024-10-10T13:59:28Z</dcterms:modified>
</cp:coreProperties>
</file>